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/>
  <bookViews>
    <workbookView xWindow="0" yWindow="516" windowWidth="23256" windowHeight="13116" tabRatio="921" firstSheet="1" activeTab="1"/>
  </bookViews>
  <sheets>
    <sheet name="ТАБЛИЦА ДЛЯ СТР. ФРАНШИЗЫ" sheetId="12" state="hidden" r:id="rId1"/>
    <sheet name="КАЛЬКУЛЯТОР, САЛОН  ZETTA" sheetId="2" r:id="rId2"/>
    <sheet name="ДДС ZETTA 300" sheetId="6" r:id="rId3"/>
    <sheet name="ДДС ZETTA 450" sheetId="9" r:id="rId4"/>
    <sheet name="ДДС ZETTA 600" sheetId="8" r:id="rId5"/>
    <sheet name="Ремонт и обустр. салона" sheetId="11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1" l="1"/>
  <c r="F11" i="11"/>
  <c r="D11" i="11"/>
  <c r="F10" i="11"/>
  <c r="E10" i="11"/>
  <c r="D10" i="11"/>
  <c r="E6" i="11" l="1"/>
  <c r="F6" i="11"/>
  <c r="D6" i="11"/>
  <c r="H25" i="6"/>
  <c r="C26" i="8" l="1"/>
  <c r="C26" i="9"/>
  <c r="C26" i="6"/>
  <c r="H25" i="8"/>
  <c r="H25" i="9"/>
  <c r="L4" i="2" l="1"/>
  <c r="G6" i="2" s="1"/>
  <c r="G6" i="12" s="1"/>
  <c r="J4" i="2"/>
  <c r="C6" i="2" s="1"/>
  <c r="C6" i="12" s="1"/>
  <c r="K4" i="2"/>
  <c r="E6" i="2" s="1"/>
  <c r="E6" i="12" s="1"/>
  <c r="D9" i="11"/>
  <c r="E9" i="11"/>
  <c r="F9" i="11"/>
  <c r="D12" i="11"/>
  <c r="E12" i="11"/>
  <c r="F12" i="11"/>
  <c r="D13" i="11"/>
  <c r="E13" i="11"/>
  <c r="F13" i="11"/>
  <c r="D22" i="11"/>
  <c r="D7" i="11" s="1"/>
  <c r="E22" i="11"/>
  <c r="E7" i="11" s="1"/>
  <c r="F22" i="11"/>
  <c r="F7" i="11" s="1"/>
  <c r="D6" i="12"/>
  <c r="F6" i="12"/>
  <c r="D7" i="12"/>
  <c r="F7" i="12"/>
  <c r="E30" i="12"/>
  <c r="G30" i="12"/>
  <c r="D30" i="12"/>
  <c r="F30" i="12"/>
  <c r="D5" i="12"/>
  <c r="F5" i="12"/>
  <c r="D3" i="12"/>
  <c r="E3" i="12"/>
  <c r="F3" i="12"/>
  <c r="G3" i="12"/>
  <c r="D4" i="12"/>
  <c r="F4" i="12"/>
  <c r="D28" i="12"/>
  <c r="F28" i="12"/>
  <c r="D29" i="12"/>
  <c r="F29" i="12"/>
  <c r="D11" i="12"/>
  <c r="F11" i="12"/>
  <c r="D12" i="12"/>
  <c r="F12" i="12"/>
  <c r="C3" i="12"/>
  <c r="C30" i="12"/>
  <c r="F22" i="6"/>
  <c r="L22" i="6"/>
  <c r="F23" i="9"/>
  <c r="F22" i="9"/>
  <c r="L22" i="9"/>
  <c r="F23" i="8"/>
  <c r="F22" i="8"/>
  <c r="L22" i="8"/>
  <c r="C24" i="9"/>
  <c r="C6" i="9" s="1"/>
  <c r="D28" i="6"/>
  <c r="D28" i="8" s="1"/>
  <c r="D5" i="8" s="1"/>
  <c r="C21" i="8"/>
  <c r="C23" i="8" s="1"/>
  <c r="H23" i="8"/>
  <c r="H22" i="8"/>
  <c r="L23" i="8"/>
  <c r="P11" i="8" s="1"/>
  <c r="L25" i="8"/>
  <c r="L24" i="8"/>
  <c r="E28" i="6"/>
  <c r="E28" i="9" s="1"/>
  <c r="H24" i="8"/>
  <c r="F28" i="6"/>
  <c r="F28" i="9" s="1"/>
  <c r="F5" i="9" s="1"/>
  <c r="G28" i="6"/>
  <c r="G28" i="9" s="1"/>
  <c r="G5" i="9" s="1"/>
  <c r="H28" i="6"/>
  <c r="H28" i="9" s="1"/>
  <c r="I28" i="6"/>
  <c r="I28" i="9" s="1"/>
  <c r="J28" i="6"/>
  <c r="J28" i="8" s="1"/>
  <c r="K28" i="6"/>
  <c r="K28" i="9" s="1"/>
  <c r="K5" i="9" s="1"/>
  <c r="L28" i="6"/>
  <c r="L28" i="9" s="1"/>
  <c r="M28" i="6"/>
  <c r="N28" i="6"/>
  <c r="N28" i="8" s="1"/>
  <c r="O28" i="6"/>
  <c r="C21" i="9"/>
  <c r="C23" i="9" s="1"/>
  <c r="H23" i="9"/>
  <c r="H22" i="9"/>
  <c r="L23" i="9"/>
  <c r="H11" i="9" s="1"/>
  <c r="L25" i="9"/>
  <c r="L24" i="9"/>
  <c r="H24" i="9"/>
  <c r="F23" i="6"/>
  <c r="C21" i="6"/>
  <c r="C23" i="6" s="1"/>
  <c r="H23" i="6"/>
  <c r="H22" i="6"/>
  <c r="L23" i="6"/>
  <c r="D11" i="6" s="1"/>
  <c r="L25" i="6"/>
  <c r="L24" i="6"/>
  <c r="H24" i="6"/>
  <c r="G4" i="2"/>
  <c r="G4" i="12" s="1"/>
  <c r="E4" i="2"/>
  <c r="E4" i="12" s="1"/>
  <c r="C4" i="2"/>
  <c r="C4" i="12" s="1"/>
  <c r="AA68" i="8"/>
  <c r="Z68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AD76" i="9"/>
  <c r="AD75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AD71" i="6"/>
  <c r="AD70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24" i="8" l="1"/>
  <c r="C6" i="8" s="1"/>
  <c r="D8" i="11"/>
  <c r="P11" i="9"/>
  <c r="I5" i="9"/>
  <c r="I4" i="9" s="1"/>
  <c r="I10" i="9" s="1"/>
  <c r="L5" i="9"/>
  <c r="H5" i="9"/>
  <c r="E5" i="9"/>
  <c r="E4" i="9" s="1"/>
  <c r="E10" i="9" s="1"/>
  <c r="O5" i="6"/>
  <c r="P5" i="6" s="1"/>
  <c r="D5" i="6"/>
  <c r="D4" i="6" s="1"/>
  <c r="D7" i="6" s="1"/>
  <c r="N5" i="8"/>
  <c r="J5" i="8"/>
  <c r="C24" i="6"/>
  <c r="C6" i="6" s="1"/>
  <c r="L5" i="6"/>
  <c r="L4" i="6" s="1"/>
  <c r="L10" i="6" s="1"/>
  <c r="F5" i="6"/>
  <c r="F4" i="6" s="1"/>
  <c r="F12" i="6" s="1"/>
  <c r="M5" i="6"/>
  <c r="M4" i="6" s="1"/>
  <c r="M10" i="6" s="1"/>
  <c r="G5" i="6"/>
  <c r="G4" i="6" s="1"/>
  <c r="J5" i="6"/>
  <c r="J4" i="6" s="1"/>
  <c r="J10" i="6" s="1"/>
  <c r="N5" i="6"/>
  <c r="N4" i="6" s="1"/>
  <c r="I5" i="6"/>
  <c r="I4" i="6" s="1"/>
  <c r="K5" i="6"/>
  <c r="K4" i="6" s="1"/>
  <c r="K12" i="6" s="1"/>
  <c r="E5" i="6"/>
  <c r="E4" i="6" s="1"/>
  <c r="H5" i="6"/>
  <c r="H4" i="6" s="1"/>
  <c r="H12" i="6" s="1"/>
  <c r="F4" i="9"/>
  <c r="F14" i="9" s="1"/>
  <c r="F75" i="9" s="1"/>
  <c r="F24" i="9"/>
  <c r="V11" i="8"/>
  <c r="G28" i="8"/>
  <c r="V11" i="6"/>
  <c r="D19" i="11"/>
  <c r="J7" i="2" s="1"/>
  <c r="C25" i="6" s="1"/>
  <c r="C8" i="6" s="1"/>
  <c r="E8" i="11"/>
  <c r="E19" i="11" s="1"/>
  <c r="J11" i="8"/>
  <c r="T11" i="8"/>
  <c r="G11" i="8"/>
  <c r="I11" i="8"/>
  <c r="G4" i="9"/>
  <c r="G12" i="9" s="1"/>
  <c r="J11" i="6"/>
  <c r="D28" i="9"/>
  <c r="J11" i="9"/>
  <c r="G11" i="9"/>
  <c r="S11" i="9"/>
  <c r="E11" i="9"/>
  <c r="L11" i="9"/>
  <c r="D11" i="9"/>
  <c r="Q11" i="8"/>
  <c r="H11" i="8"/>
  <c r="N4" i="8"/>
  <c r="N12" i="8" s="1"/>
  <c r="J4" i="8"/>
  <c r="J12" i="8" s="1"/>
  <c r="Q11" i="9"/>
  <c r="U11" i="9"/>
  <c r="Q11" i="6"/>
  <c r="M28" i="9"/>
  <c r="O11" i="6"/>
  <c r="Z11" i="9"/>
  <c r="Y11" i="9"/>
  <c r="I11" i="9"/>
  <c r="D11" i="8"/>
  <c r="F24" i="8"/>
  <c r="E28" i="8"/>
  <c r="L28" i="8"/>
  <c r="Y11" i="8"/>
  <c r="O11" i="8"/>
  <c r="M28" i="8"/>
  <c r="S11" i="6"/>
  <c r="G11" i="6"/>
  <c r="AA11" i="8"/>
  <c r="W11" i="8"/>
  <c r="L4" i="9"/>
  <c r="L12" i="9" s="1"/>
  <c r="H4" i="9"/>
  <c r="H12" i="9" s="1"/>
  <c r="N28" i="9"/>
  <c r="K4" i="9"/>
  <c r="S9" i="8"/>
  <c r="I9" i="8"/>
  <c r="J9" i="8"/>
  <c r="M9" i="8"/>
  <c r="U9" i="8"/>
  <c r="K9" i="8"/>
  <c r="H9" i="8"/>
  <c r="V9" i="8"/>
  <c r="AA9" i="9"/>
  <c r="K9" i="9"/>
  <c r="Y9" i="9"/>
  <c r="W9" i="9"/>
  <c r="Q9" i="9"/>
  <c r="Z9" i="9"/>
  <c r="F9" i="9"/>
  <c r="N11" i="8"/>
  <c r="K11" i="8"/>
  <c r="Z11" i="8"/>
  <c r="D4" i="8"/>
  <c r="Y11" i="6"/>
  <c r="K11" i="6"/>
  <c r="F11" i="6"/>
  <c r="X11" i="9"/>
  <c r="O11" i="9"/>
  <c r="R11" i="9"/>
  <c r="AA11" i="9"/>
  <c r="T11" i="9"/>
  <c r="M11" i="9"/>
  <c r="S11" i="8"/>
  <c r="X11" i="8"/>
  <c r="E11" i="8"/>
  <c r="F11" i="8"/>
  <c r="F8" i="11"/>
  <c r="U11" i="8"/>
  <c r="R11" i="8"/>
  <c r="W11" i="6"/>
  <c r="T11" i="6"/>
  <c r="N11" i="6"/>
  <c r="N11" i="9"/>
  <c r="V11" i="9"/>
  <c r="K11" i="9"/>
  <c r="W11" i="9"/>
  <c r="F11" i="9"/>
  <c r="M11" i="8"/>
  <c r="L11" i="8"/>
  <c r="F28" i="8"/>
  <c r="T9" i="9"/>
  <c r="L9" i="9"/>
  <c r="I28" i="8"/>
  <c r="N9" i="8"/>
  <c r="G9" i="8"/>
  <c r="W9" i="8"/>
  <c r="F24" i="6"/>
  <c r="P9" i="9"/>
  <c r="I9" i="9"/>
  <c r="F9" i="8"/>
  <c r="P9" i="8"/>
  <c r="K9" i="6"/>
  <c r="F9" i="6"/>
  <c r="Q9" i="6"/>
  <c r="S9" i="6"/>
  <c r="P9" i="6"/>
  <c r="M9" i="6"/>
  <c r="H9" i="6"/>
  <c r="Y9" i="6"/>
  <c r="W9" i="6"/>
  <c r="E9" i="6"/>
  <c r="O9" i="6"/>
  <c r="C8" i="12" s="1"/>
  <c r="L9" i="6"/>
  <c r="R9" i="6"/>
  <c r="AA9" i="6"/>
  <c r="G9" i="6"/>
  <c r="D9" i="6"/>
  <c r="N9" i="6"/>
  <c r="V9" i="6"/>
  <c r="X9" i="6"/>
  <c r="K28" i="8"/>
  <c r="O28" i="8"/>
  <c r="H28" i="8"/>
  <c r="S9" i="9"/>
  <c r="R9" i="9"/>
  <c r="J9" i="9"/>
  <c r="H9" i="9"/>
  <c r="AA11" i="6"/>
  <c r="R11" i="6"/>
  <c r="X11" i="6"/>
  <c r="M11" i="6"/>
  <c r="E11" i="6"/>
  <c r="H11" i="6"/>
  <c r="V9" i="9"/>
  <c r="O28" i="9"/>
  <c r="E9" i="9"/>
  <c r="N9" i="9"/>
  <c r="O9" i="9"/>
  <c r="E8" i="12" s="1"/>
  <c r="Z11" i="6"/>
  <c r="U11" i="6"/>
  <c r="P11" i="6"/>
  <c r="I11" i="6"/>
  <c r="L11" i="6"/>
  <c r="J28" i="9"/>
  <c r="L9" i="8"/>
  <c r="E9" i="8"/>
  <c r="T9" i="8"/>
  <c r="O9" i="8"/>
  <c r="Z9" i="8"/>
  <c r="Y9" i="8"/>
  <c r="Q9" i="8"/>
  <c r="R9" i="8"/>
  <c r="X9" i="8"/>
  <c r="AA9" i="8"/>
  <c r="D9" i="8"/>
  <c r="I9" i="6"/>
  <c r="J9" i="6"/>
  <c r="U9" i="6"/>
  <c r="Z9" i="6"/>
  <c r="T9" i="6"/>
  <c r="U9" i="9"/>
  <c r="D9" i="9"/>
  <c r="X9" i="9"/>
  <c r="M9" i="9"/>
  <c r="G9" i="9"/>
  <c r="C7" i="2" l="1"/>
  <c r="C7" i="12" s="1"/>
  <c r="F10" i="9"/>
  <c r="X5" i="6"/>
  <c r="X4" i="6" s="1"/>
  <c r="X12" i="6" s="1"/>
  <c r="E10" i="6"/>
  <c r="E7" i="6"/>
  <c r="F7" i="6" s="1"/>
  <c r="O5" i="8"/>
  <c r="F5" i="8"/>
  <c r="F4" i="8" s="1"/>
  <c r="F12" i="9"/>
  <c r="K5" i="8"/>
  <c r="K4" i="8" s="1"/>
  <c r="K12" i="8" s="1"/>
  <c r="I5" i="8"/>
  <c r="I4" i="8" s="1"/>
  <c r="I12" i="8" s="1"/>
  <c r="G5" i="8"/>
  <c r="G4" i="8" s="1"/>
  <c r="G10" i="8" s="1"/>
  <c r="J5" i="9"/>
  <c r="J4" i="9" s="1"/>
  <c r="J14" i="9" s="1"/>
  <c r="L5" i="8"/>
  <c r="L4" i="8" s="1"/>
  <c r="L10" i="8" s="1"/>
  <c r="M5" i="9"/>
  <c r="M4" i="9" s="1"/>
  <c r="O5" i="9"/>
  <c r="O4" i="9" s="1"/>
  <c r="H5" i="8"/>
  <c r="H4" i="8" s="1"/>
  <c r="H12" i="8" s="1"/>
  <c r="N5" i="9"/>
  <c r="N4" i="9" s="1"/>
  <c r="M5" i="8"/>
  <c r="M4" i="8" s="1"/>
  <c r="M10" i="8" s="1"/>
  <c r="E5" i="8"/>
  <c r="E4" i="8" s="1"/>
  <c r="D5" i="9"/>
  <c r="K7" i="2"/>
  <c r="C25" i="9" s="1"/>
  <c r="C8" i="9" s="1"/>
  <c r="F19" i="11"/>
  <c r="L7" i="2" s="1"/>
  <c r="G14" i="6"/>
  <c r="G70" i="6" s="1"/>
  <c r="G71" i="6" s="1"/>
  <c r="G76" i="6" s="1"/>
  <c r="G12" i="6"/>
  <c r="G10" i="6"/>
  <c r="K14" i="6"/>
  <c r="K70" i="6" s="1"/>
  <c r="K71" i="6" s="1"/>
  <c r="K76" i="6" s="1"/>
  <c r="E12" i="6"/>
  <c r="N10" i="8"/>
  <c r="L14" i="9"/>
  <c r="L75" i="9" s="1"/>
  <c r="L10" i="9"/>
  <c r="L12" i="6"/>
  <c r="L14" i="6"/>
  <c r="L70" i="6" s="1"/>
  <c r="L71" i="6" s="1"/>
  <c r="L76" i="6" s="1"/>
  <c r="M12" i="6"/>
  <c r="K10" i="6"/>
  <c r="N14" i="8"/>
  <c r="N69" i="8" s="1"/>
  <c r="J14" i="8"/>
  <c r="J69" i="8" s="1"/>
  <c r="J10" i="8"/>
  <c r="G14" i="9"/>
  <c r="G75" i="9" s="1"/>
  <c r="E14" i="9"/>
  <c r="E75" i="9" s="1"/>
  <c r="E76" i="9" s="1"/>
  <c r="E81" i="9" s="1"/>
  <c r="G10" i="9"/>
  <c r="J14" i="6"/>
  <c r="J70" i="6" s="1"/>
  <c r="J71" i="6" s="1"/>
  <c r="J76" i="6" s="1"/>
  <c r="Y5" i="6"/>
  <c r="Y4" i="6" s="1"/>
  <c r="Y10" i="6" s="1"/>
  <c r="AC11" i="8"/>
  <c r="I14" i="9"/>
  <c r="I75" i="9" s="1"/>
  <c r="E7" i="9"/>
  <c r="V5" i="6"/>
  <c r="V4" i="6" s="1"/>
  <c r="V10" i="6" s="1"/>
  <c r="M14" i="6"/>
  <c r="M70" i="6" s="1"/>
  <c r="M71" i="6" s="1"/>
  <c r="M76" i="6" s="1"/>
  <c r="I12" i="9"/>
  <c r="T5" i="6"/>
  <c r="T4" i="6" s="1"/>
  <c r="T10" i="6" s="1"/>
  <c r="AB11" i="9"/>
  <c r="AC11" i="9"/>
  <c r="H14" i="9"/>
  <c r="H75" i="9" s="1"/>
  <c r="H76" i="9" s="1"/>
  <c r="H81" i="9" s="1"/>
  <c r="H10" i="6"/>
  <c r="H14" i="6"/>
  <c r="H70" i="6" s="1"/>
  <c r="H71" i="6" s="1"/>
  <c r="H76" i="6" s="1"/>
  <c r="E14" i="6"/>
  <c r="E70" i="6" s="1"/>
  <c r="O4" i="6"/>
  <c r="O10" i="6" s="1"/>
  <c r="C9" i="2" s="1"/>
  <c r="C29" i="12" s="1"/>
  <c r="H10" i="9"/>
  <c r="J12" i="6"/>
  <c r="S5" i="6"/>
  <c r="S4" i="6" s="1"/>
  <c r="S14" i="6" s="1"/>
  <c r="N14" i="6"/>
  <c r="N70" i="6" s="1"/>
  <c r="N71" i="6" s="1"/>
  <c r="N76" i="6" s="1"/>
  <c r="N12" i="6"/>
  <c r="K10" i="9"/>
  <c r="K12" i="9"/>
  <c r="K14" i="9"/>
  <c r="K75" i="9" s="1"/>
  <c r="K76" i="9" s="1"/>
  <c r="K81" i="9" s="1"/>
  <c r="AB11" i="8"/>
  <c r="E12" i="9"/>
  <c r="AB11" i="6"/>
  <c r="U5" i="6"/>
  <c r="U4" i="6" s="1"/>
  <c r="U14" i="6" s="1"/>
  <c r="AA5" i="6"/>
  <c r="AA4" i="6" s="1"/>
  <c r="AA14" i="6" s="1"/>
  <c r="R5" i="6"/>
  <c r="R4" i="6" s="1"/>
  <c r="R12" i="6" s="1"/>
  <c r="W5" i="6"/>
  <c r="W4" i="6" s="1"/>
  <c r="AC11" i="6"/>
  <c r="Q5" i="6"/>
  <c r="Q4" i="6" s="1"/>
  <c r="P4" i="6"/>
  <c r="P10" i="6" s="1"/>
  <c r="Z5" i="6"/>
  <c r="Z4" i="6" s="1"/>
  <c r="Z10" i="6" s="1"/>
  <c r="F14" i="6"/>
  <c r="F70" i="6" s="1"/>
  <c r="F71" i="6" s="1"/>
  <c r="F76" i="6" s="1"/>
  <c r="F10" i="6"/>
  <c r="AB5" i="6"/>
  <c r="N10" i="6"/>
  <c r="D14" i="6"/>
  <c r="D79" i="6" s="1"/>
  <c r="D77" i="6"/>
  <c r="D10" i="6"/>
  <c r="D12" i="6"/>
  <c r="E77" i="6"/>
  <c r="AB9" i="6"/>
  <c r="I10" i="6"/>
  <c r="I12" i="6"/>
  <c r="I14" i="6"/>
  <c r="I70" i="6" s="1"/>
  <c r="F76" i="9"/>
  <c r="F81" i="9" s="1"/>
  <c r="D76" i="8"/>
  <c r="D10" i="8"/>
  <c r="D14" i="8"/>
  <c r="D69" i="8" s="1"/>
  <c r="D12" i="8"/>
  <c r="D7" i="8"/>
  <c r="AB9" i="9"/>
  <c r="AB9" i="8"/>
  <c r="AC9" i="8"/>
  <c r="AC9" i="9"/>
  <c r="G8" i="12"/>
  <c r="AC9" i="6"/>
  <c r="X14" i="6" l="1"/>
  <c r="X70" i="6" s="1"/>
  <c r="X10" i="6"/>
  <c r="G7" i="6"/>
  <c r="M12" i="9"/>
  <c r="M14" i="9"/>
  <c r="M75" i="9" s="1"/>
  <c r="M76" i="9" s="1"/>
  <c r="M81" i="9" s="1"/>
  <c r="AB5" i="9"/>
  <c r="I14" i="8"/>
  <c r="I69" i="8" s="1"/>
  <c r="I70" i="8" s="1"/>
  <c r="I75" i="8" s="1"/>
  <c r="L14" i="8"/>
  <c r="L69" i="8" s="1"/>
  <c r="L70" i="8" s="1"/>
  <c r="L75" i="8" s="1"/>
  <c r="L12" i="8"/>
  <c r="E14" i="8"/>
  <c r="E69" i="8" s="1"/>
  <c r="E70" i="8" s="1"/>
  <c r="E75" i="8" s="1"/>
  <c r="E76" i="8"/>
  <c r="F76" i="8" s="1"/>
  <c r="E7" i="8"/>
  <c r="F7" i="8" s="1"/>
  <c r="G7" i="8" s="1"/>
  <c r="N14" i="9"/>
  <c r="N75" i="9" s="1"/>
  <c r="N76" i="9" s="1"/>
  <c r="N81" i="9" s="1"/>
  <c r="N12" i="9"/>
  <c r="I10" i="8"/>
  <c r="J75" i="9"/>
  <c r="J76" i="9" s="1"/>
  <c r="J81" i="9" s="1"/>
  <c r="M10" i="9"/>
  <c r="K10" i="8"/>
  <c r="D4" i="9"/>
  <c r="D10" i="9" s="1"/>
  <c r="F10" i="8"/>
  <c r="F12" i="8"/>
  <c r="F14" i="8"/>
  <c r="F69" i="8" s="1"/>
  <c r="F70" i="8" s="1"/>
  <c r="F75" i="8" s="1"/>
  <c r="J10" i="9"/>
  <c r="G12" i="8"/>
  <c r="H10" i="8"/>
  <c r="G14" i="8"/>
  <c r="G69" i="8" s="1"/>
  <c r="G70" i="8" s="1"/>
  <c r="G75" i="8" s="1"/>
  <c r="N10" i="9"/>
  <c r="AB5" i="8"/>
  <c r="Y5" i="9"/>
  <c r="Y4" i="9" s="1"/>
  <c r="Y10" i="9" s="1"/>
  <c r="V5" i="9"/>
  <c r="V4" i="9" s="1"/>
  <c r="V10" i="9" s="1"/>
  <c r="Z5" i="9"/>
  <c r="Z4" i="9" s="1"/>
  <c r="Z14" i="9" s="1"/>
  <c r="Z75" i="9" s="1"/>
  <c r="Z76" i="9" s="1"/>
  <c r="Z81" i="9" s="1"/>
  <c r="R5" i="9"/>
  <c r="R4" i="9" s="1"/>
  <c r="R10" i="9" s="1"/>
  <c r="S5" i="9"/>
  <c r="S4" i="9" s="1"/>
  <c r="S10" i="9" s="1"/>
  <c r="X5" i="9"/>
  <c r="X4" i="9" s="1"/>
  <c r="X14" i="9" s="1"/>
  <c r="AA5" i="9"/>
  <c r="AA4" i="9" s="1"/>
  <c r="AA14" i="9" s="1"/>
  <c r="W5" i="9"/>
  <c r="W4" i="9" s="1"/>
  <c r="W14" i="9" s="1"/>
  <c r="Q5" i="9"/>
  <c r="Q4" i="9" s="1"/>
  <c r="Q10" i="9" s="1"/>
  <c r="T5" i="9"/>
  <c r="T4" i="9" s="1"/>
  <c r="U5" i="9"/>
  <c r="U4" i="9" s="1"/>
  <c r="U10" i="9" s="1"/>
  <c r="P5" i="9"/>
  <c r="Y5" i="8"/>
  <c r="Y4" i="8" s="1"/>
  <c r="Y12" i="8" s="1"/>
  <c r="Z5" i="8"/>
  <c r="Z4" i="8" s="1"/>
  <c r="Z12" i="8" s="1"/>
  <c r="R5" i="8"/>
  <c r="R4" i="8" s="1"/>
  <c r="R12" i="8" s="1"/>
  <c r="V5" i="8"/>
  <c r="V4" i="8" s="1"/>
  <c r="V12" i="8" s="1"/>
  <c r="S5" i="8"/>
  <c r="S4" i="8" s="1"/>
  <c r="S10" i="8" s="1"/>
  <c r="T5" i="8"/>
  <c r="T4" i="8" s="1"/>
  <c r="T12" i="8" s="1"/>
  <c r="W5" i="8"/>
  <c r="W4" i="8" s="1"/>
  <c r="W14" i="8" s="1"/>
  <c r="X5" i="8"/>
  <c r="X4" i="8" s="1"/>
  <c r="X12" i="8" s="1"/>
  <c r="Q5" i="8"/>
  <c r="Q4" i="8" s="1"/>
  <c r="Q14" i="8" s="1"/>
  <c r="Q69" i="8" s="1"/>
  <c r="Q70" i="8" s="1"/>
  <c r="Q75" i="8" s="1"/>
  <c r="P5" i="8"/>
  <c r="U5" i="8"/>
  <c r="U4" i="8" s="1"/>
  <c r="U14" i="8" s="1"/>
  <c r="U69" i="8" s="1"/>
  <c r="AA5" i="8"/>
  <c r="AA4" i="8" s="1"/>
  <c r="AA14" i="8" s="1"/>
  <c r="AA69" i="8" s="1"/>
  <c r="AA70" i="8" s="1"/>
  <c r="AA75" i="8" s="1"/>
  <c r="J12" i="9"/>
  <c r="K14" i="8"/>
  <c r="K69" i="8" s="1"/>
  <c r="K70" i="8" s="1"/>
  <c r="K75" i="8" s="1"/>
  <c r="M14" i="8"/>
  <c r="M69" i="8" s="1"/>
  <c r="M70" i="8" s="1"/>
  <c r="M75" i="8" s="1"/>
  <c r="M12" i="8"/>
  <c r="H14" i="8"/>
  <c r="H69" i="8" s="1"/>
  <c r="H70" i="8" s="1"/>
  <c r="H75" i="8" s="1"/>
  <c r="E10" i="8"/>
  <c r="E12" i="8"/>
  <c r="O4" i="8"/>
  <c r="T12" i="6"/>
  <c r="E7" i="2"/>
  <c r="E7" i="12" s="1"/>
  <c r="C25" i="8"/>
  <c r="C8" i="8" s="1"/>
  <c r="G7" i="2"/>
  <c r="G7" i="12" s="1"/>
  <c r="E13" i="6"/>
  <c r="E15" i="6" s="1"/>
  <c r="E16" i="6" s="1"/>
  <c r="V14" i="6"/>
  <c r="V70" i="6" s="1"/>
  <c r="D70" i="6"/>
  <c r="D71" i="6" s="1"/>
  <c r="D73" i="6" s="1"/>
  <c r="V12" i="6"/>
  <c r="T14" i="6"/>
  <c r="T70" i="6" s="1"/>
  <c r="T71" i="6" s="1"/>
  <c r="T76" i="6" s="1"/>
  <c r="F13" i="9"/>
  <c r="F15" i="9" s="1"/>
  <c r="F16" i="9" s="1"/>
  <c r="G13" i="9"/>
  <c r="G15" i="9" s="1"/>
  <c r="G16" i="9" s="1"/>
  <c r="E13" i="9"/>
  <c r="E15" i="9" s="1"/>
  <c r="E16" i="9" s="1"/>
  <c r="Y14" i="6"/>
  <c r="Y70" i="6" s="1"/>
  <c r="Y71" i="6" s="1"/>
  <c r="Y76" i="6" s="1"/>
  <c r="Y12" i="6"/>
  <c r="AB4" i="6"/>
  <c r="F13" i="6"/>
  <c r="F15" i="6" s="1"/>
  <c r="F16" i="6" s="1"/>
  <c r="AA70" i="6"/>
  <c r="AA71" i="6" s="1"/>
  <c r="AA76" i="6" s="1"/>
  <c r="AA12" i="6"/>
  <c r="AA10" i="6"/>
  <c r="P12" i="6"/>
  <c r="O14" i="6"/>
  <c r="O70" i="6" s="1"/>
  <c r="O71" i="6" s="1"/>
  <c r="O76" i="6" s="1"/>
  <c r="S10" i="6"/>
  <c r="S70" i="6"/>
  <c r="S71" i="6" s="1"/>
  <c r="S76" i="6" s="1"/>
  <c r="S12" i="6"/>
  <c r="U70" i="6"/>
  <c r="U71" i="6" s="1"/>
  <c r="U76" i="6" s="1"/>
  <c r="O12" i="6"/>
  <c r="C8" i="2" s="1"/>
  <c r="C28" i="12" s="1"/>
  <c r="U12" i="6"/>
  <c r="W12" i="6"/>
  <c r="U10" i="6"/>
  <c r="P14" i="6"/>
  <c r="P70" i="6" s="1"/>
  <c r="P71" i="6" s="1"/>
  <c r="AC4" i="6"/>
  <c r="W10" i="6"/>
  <c r="W14" i="6"/>
  <c r="W70" i="6" s="1"/>
  <c r="W71" i="6" s="1"/>
  <c r="W76" i="6" s="1"/>
  <c r="R14" i="6"/>
  <c r="R70" i="6" s="1"/>
  <c r="R71" i="6" s="1"/>
  <c r="R76" i="6" s="1"/>
  <c r="R10" i="6"/>
  <c r="Z12" i="6"/>
  <c r="Z14" i="6"/>
  <c r="Z70" i="6" s="1"/>
  <c r="Q14" i="6"/>
  <c r="Q12" i="6"/>
  <c r="Q10" i="6"/>
  <c r="AC5" i="6"/>
  <c r="E79" i="6"/>
  <c r="F77" i="6"/>
  <c r="Q12" i="8"/>
  <c r="X10" i="9"/>
  <c r="D13" i="8"/>
  <c r="D15" i="8" s="1"/>
  <c r="AB10" i="6"/>
  <c r="D13" i="6"/>
  <c r="O10" i="9"/>
  <c r="O14" i="9"/>
  <c r="O12" i="9"/>
  <c r="D78" i="8"/>
  <c r="I71" i="6"/>
  <c r="I76" i="6" s="1"/>
  <c r="G76" i="9"/>
  <c r="G81" i="9" s="1"/>
  <c r="L76" i="9"/>
  <c r="L81" i="9" s="1"/>
  <c r="J70" i="8"/>
  <c r="J75" i="8" s="1"/>
  <c r="E71" i="6"/>
  <c r="I76" i="9"/>
  <c r="I81" i="9" s="1"/>
  <c r="D70" i="8"/>
  <c r="X71" i="6"/>
  <c r="X76" i="6" s="1"/>
  <c r="N70" i="8"/>
  <c r="N75" i="8" s="1"/>
  <c r="E78" i="8"/>
  <c r="S14" i="8" l="1"/>
  <c r="S69" i="8" s="1"/>
  <c r="Y10" i="8"/>
  <c r="Y14" i="8"/>
  <c r="Y69" i="8" s="1"/>
  <c r="Y70" i="8" s="1"/>
  <c r="Y75" i="8" s="1"/>
  <c r="S14" i="9"/>
  <c r="S75" i="9" s="1"/>
  <c r="S76" i="9" s="1"/>
  <c r="S81" i="9" s="1"/>
  <c r="S12" i="9"/>
  <c r="S12" i="8"/>
  <c r="Q10" i="8"/>
  <c r="Q12" i="9"/>
  <c r="Z10" i="8"/>
  <c r="AB4" i="9"/>
  <c r="U12" i="8"/>
  <c r="D14" i="9"/>
  <c r="D84" i="9" s="1"/>
  <c r="D82" i="9"/>
  <c r="Z10" i="9"/>
  <c r="AA75" i="9"/>
  <c r="AA76" i="9" s="1"/>
  <c r="AA81" i="9" s="1"/>
  <c r="W10" i="8"/>
  <c r="R10" i="8"/>
  <c r="Q14" i="9"/>
  <c r="Q75" i="9" s="1"/>
  <c r="Q76" i="9" s="1"/>
  <c r="Q81" i="9" s="1"/>
  <c r="Y12" i="9"/>
  <c r="Y14" i="9"/>
  <c r="Y75" i="9" s="1"/>
  <c r="Y76" i="9" s="1"/>
  <c r="Y81" i="9" s="1"/>
  <c r="E82" i="9"/>
  <c r="F82" i="9" s="1"/>
  <c r="F84" i="9" s="1"/>
  <c r="H7" i="6"/>
  <c r="V14" i="8"/>
  <c r="V69" i="8" s="1"/>
  <c r="V70" i="8" s="1"/>
  <c r="V75" i="8" s="1"/>
  <c r="X10" i="8"/>
  <c r="Z12" i="9"/>
  <c r="U12" i="9"/>
  <c r="W12" i="9"/>
  <c r="R12" i="9"/>
  <c r="U14" i="9"/>
  <c r="U75" i="9" s="1"/>
  <c r="AA12" i="9"/>
  <c r="AA10" i="9"/>
  <c r="R14" i="8"/>
  <c r="R69" i="8" s="1"/>
  <c r="R70" i="8" s="1"/>
  <c r="R75" i="8" s="1"/>
  <c r="W12" i="8"/>
  <c r="T14" i="8"/>
  <c r="T69" i="8" s="1"/>
  <c r="U10" i="8"/>
  <c r="E13" i="8"/>
  <c r="E15" i="8" s="1"/>
  <c r="E16" i="8" s="1"/>
  <c r="T10" i="8"/>
  <c r="W10" i="9"/>
  <c r="D7" i="9"/>
  <c r="D12" i="9"/>
  <c r="D13" i="9" s="1"/>
  <c r="X14" i="8"/>
  <c r="X69" i="8" s="1"/>
  <c r="X70" i="8" s="1"/>
  <c r="X75" i="8" s="1"/>
  <c r="AA12" i="8"/>
  <c r="V14" i="9"/>
  <c r="V75" i="9" s="1"/>
  <c r="V76" i="9" s="1"/>
  <c r="V81" i="9" s="1"/>
  <c r="AC5" i="9"/>
  <c r="P4" i="9"/>
  <c r="Z14" i="8"/>
  <c r="Z69" i="8" s="1"/>
  <c r="Z70" i="8" s="1"/>
  <c r="Z75" i="8" s="1"/>
  <c r="V10" i="8"/>
  <c r="X12" i="9"/>
  <c r="AA10" i="8"/>
  <c r="R14" i="9"/>
  <c r="R75" i="9" s="1"/>
  <c r="R76" i="9" s="1"/>
  <c r="R81" i="9" s="1"/>
  <c r="O14" i="8"/>
  <c r="O12" i="8"/>
  <c r="G8" i="2" s="1"/>
  <c r="G28" i="12" s="1"/>
  <c r="O10" i="8"/>
  <c r="AB4" i="8"/>
  <c r="AC5" i="8"/>
  <c r="P4" i="8"/>
  <c r="T12" i="9"/>
  <c r="T14" i="9"/>
  <c r="T75" i="9" s="1"/>
  <c r="T76" i="9" s="1"/>
  <c r="T81" i="9" s="1"/>
  <c r="T10" i="9"/>
  <c r="G13" i="8"/>
  <c r="G15" i="8" s="1"/>
  <c r="G16" i="8" s="1"/>
  <c r="V12" i="9"/>
  <c r="AB70" i="6"/>
  <c r="F13" i="8"/>
  <c r="F15" i="8" s="1"/>
  <c r="F16" i="8" s="1"/>
  <c r="I13" i="9"/>
  <c r="I15" i="9" s="1"/>
  <c r="I16" i="9" s="1"/>
  <c r="H13" i="9"/>
  <c r="H15" i="9" s="1"/>
  <c r="H16" i="9" s="1"/>
  <c r="AB77" i="6"/>
  <c r="AB14" i="6"/>
  <c r="AC14" i="6"/>
  <c r="G13" i="6"/>
  <c r="AC10" i="6"/>
  <c r="AC12" i="6"/>
  <c r="AB12" i="6"/>
  <c r="Q70" i="6"/>
  <c r="Q71" i="6" s="1"/>
  <c r="Q76" i="6" s="1"/>
  <c r="D76" i="6"/>
  <c r="E8" i="2"/>
  <c r="E28" i="12" s="1"/>
  <c r="D15" i="6"/>
  <c r="D16" i="6" s="1"/>
  <c r="D78" i="6"/>
  <c r="E78" i="6" s="1"/>
  <c r="F78" i="6" s="1"/>
  <c r="S70" i="8"/>
  <c r="S75" i="8" s="1"/>
  <c r="U70" i="8"/>
  <c r="U75" i="8" s="1"/>
  <c r="X75" i="9"/>
  <c r="X76" i="9" s="1"/>
  <c r="X81" i="9" s="1"/>
  <c r="V71" i="6"/>
  <c r="V76" i="6" s="1"/>
  <c r="D77" i="8"/>
  <c r="O75" i="9"/>
  <c r="W75" i="9"/>
  <c r="W76" i="9" s="1"/>
  <c r="W81" i="9" s="1"/>
  <c r="G77" i="6"/>
  <c r="F79" i="6"/>
  <c r="E9" i="2"/>
  <c r="E29" i="12" s="1"/>
  <c r="AB10" i="9"/>
  <c r="Z71" i="6"/>
  <c r="Z76" i="6" s="1"/>
  <c r="G76" i="8"/>
  <c r="F78" i="8"/>
  <c r="D72" i="8"/>
  <c r="E72" i="8" s="1"/>
  <c r="F72" i="8" s="1"/>
  <c r="G72" i="8" s="1"/>
  <c r="H72" i="8" s="1"/>
  <c r="I72" i="8" s="1"/>
  <c r="J72" i="8" s="1"/>
  <c r="K72" i="8" s="1"/>
  <c r="L72" i="8" s="1"/>
  <c r="M72" i="8" s="1"/>
  <c r="N72" i="8" s="1"/>
  <c r="H7" i="8"/>
  <c r="H13" i="8" s="1"/>
  <c r="H15" i="8" s="1"/>
  <c r="H16" i="8" s="1"/>
  <c r="D16" i="8"/>
  <c r="AB71" i="6"/>
  <c r="E73" i="6"/>
  <c r="F73" i="6" s="1"/>
  <c r="G73" i="6" s="1"/>
  <c r="H73" i="6" s="1"/>
  <c r="I73" i="6" s="1"/>
  <c r="J73" i="6" s="1"/>
  <c r="K73" i="6" s="1"/>
  <c r="L73" i="6" s="1"/>
  <c r="M73" i="6" s="1"/>
  <c r="N73" i="6" s="1"/>
  <c r="O73" i="6" s="1"/>
  <c r="P73" i="6" s="1"/>
  <c r="W69" i="8"/>
  <c r="E76" i="6"/>
  <c r="P76" i="6"/>
  <c r="D75" i="8"/>
  <c r="G82" i="9" l="1"/>
  <c r="H82" i="9" s="1"/>
  <c r="E84" i="9"/>
  <c r="AB12" i="9"/>
  <c r="AB14" i="9"/>
  <c r="D75" i="9"/>
  <c r="D76" i="9" s="1"/>
  <c r="D81" i="9" s="1"/>
  <c r="I7" i="6"/>
  <c r="J7" i="6" s="1"/>
  <c r="K7" i="6" s="1"/>
  <c r="E77" i="8"/>
  <c r="F77" i="8" s="1"/>
  <c r="G77" i="8" s="1"/>
  <c r="H77" i="8" s="1"/>
  <c r="G84" i="9"/>
  <c r="F7" i="9"/>
  <c r="G7" i="9" s="1"/>
  <c r="D83" i="9"/>
  <c r="E83" i="9" s="1"/>
  <c r="F83" i="9" s="1"/>
  <c r="G83" i="9" s="1"/>
  <c r="H83" i="9" s="1"/>
  <c r="I83" i="9" s="1"/>
  <c r="D15" i="9"/>
  <c r="D16" i="9" s="1"/>
  <c r="D18" i="9" s="1"/>
  <c r="E18" i="9" s="1"/>
  <c r="G9" i="2"/>
  <c r="G29" i="12" s="1"/>
  <c r="AB10" i="8"/>
  <c r="P10" i="8"/>
  <c r="AC10" i="8" s="1"/>
  <c r="P14" i="8"/>
  <c r="P12" i="8"/>
  <c r="AC12" i="8" s="1"/>
  <c r="AC4" i="8"/>
  <c r="AB76" i="8" s="1"/>
  <c r="P12" i="9"/>
  <c r="AC12" i="9" s="1"/>
  <c r="P10" i="9"/>
  <c r="AC10" i="9" s="1"/>
  <c r="P14" i="9"/>
  <c r="AC4" i="9"/>
  <c r="AB82" i="9" s="1"/>
  <c r="O69" i="8"/>
  <c r="AB14" i="8"/>
  <c r="AB12" i="8"/>
  <c r="AC70" i="6"/>
  <c r="H13" i="6"/>
  <c r="H15" i="6" s="1"/>
  <c r="H16" i="6" s="1"/>
  <c r="AB79" i="6"/>
  <c r="K13" i="9"/>
  <c r="K15" i="9" s="1"/>
  <c r="K16" i="9" s="1"/>
  <c r="AB78" i="6"/>
  <c r="Q73" i="6"/>
  <c r="R73" i="6" s="1"/>
  <c r="S73" i="6" s="1"/>
  <c r="T73" i="6" s="1"/>
  <c r="U73" i="6" s="1"/>
  <c r="V73" i="6" s="1"/>
  <c r="W73" i="6" s="1"/>
  <c r="X73" i="6" s="1"/>
  <c r="Y73" i="6" s="1"/>
  <c r="Z73" i="6" s="1"/>
  <c r="AA73" i="6" s="1"/>
  <c r="C21" i="2"/>
  <c r="D21" i="2" s="1"/>
  <c r="E21" i="2" s="1"/>
  <c r="D18" i="6"/>
  <c r="E18" i="6" s="1"/>
  <c r="F18" i="6" s="1"/>
  <c r="D17" i="6"/>
  <c r="E17" i="6" s="1"/>
  <c r="G15" i="6"/>
  <c r="G16" i="6" s="1"/>
  <c r="G78" i="6"/>
  <c r="O76" i="9"/>
  <c r="AB76" i="9" s="1"/>
  <c r="T70" i="8"/>
  <c r="T75" i="8" s="1"/>
  <c r="U76" i="9"/>
  <c r="AC71" i="6"/>
  <c r="G79" i="6"/>
  <c r="H77" i="6"/>
  <c r="G78" i="8"/>
  <c r="H76" i="8"/>
  <c r="D17" i="8"/>
  <c r="E17" i="8" s="1"/>
  <c r="C23" i="2"/>
  <c r="D23" i="2" s="1"/>
  <c r="E23" i="2" s="1"/>
  <c r="F23" i="2" s="1"/>
  <c r="G23" i="2" s="1"/>
  <c r="D18" i="8"/>
  <c r="E18" i="8" s="1"/>
  <c r="F18" i="8" s="1"/>
  <c r="G18" i="8" s="1"/>
  <c r="H18" i="8" s="1"/>
  <c r="I7" i="8"/>
  <c r="H84" i="9"/>
  <c r="I82" i="9"/>
  <c r="W70" i="8"/>
  <c r="W75" i="8" s="1"/>
  <c r="D78" i="9" l="1"/>
  <c r="E78" i="9" s="1"/>
  <c r="F78" i="9" s="1"/>
  <c r="G78" i="9" s="1"/>
  <c r="H78" i="9" s="1"/>
  <c r="I78" i="9" s="1"/>
  <c r="J78" i="9" s="1"/>
  <c r="K78" i="9" s="1"/>
  <c r="L78" i="9" s="1"/>
  <c r="M78" i="9" s="1"/>
  <c r="N78" i="9" s="1"/>
  <c r="O78" i="9" s="1"/>
  <c r="AB75" i="9"/>
  <c r="F18" i="9"/>
  <c r="G18" i="9" s="1"/>
  <c r="C22" i="2"/>
  <c r="D22" i="2" s="1"/>
  <c r="E22" i="2" s="1"/>
  <c r="F22" i="2" s="1"/>
  <c r="G22" i="2" s="1"/>
  <c r="H22" i="2" s="1"/>
  <c r="H7" i="9"/>
  <c r="I7" i="9" s="1"/>
  <c r="J7" i="9" s="1"/>
  <c r="J13" i="9" s="1"/>
  <c r="J15" i="9" s="1"/>
  <c r="J16" i="9" s="1"/>
  <c r="L7" i="6"/>
  <c r="D17" i="9"/>
  <c r="E17" i="9" s="1"/>
  <c r="F17" i="9" s="1"/>
  <c r="G17" i="9" s="1"/>
  <c r="H17" i="9" s="1"/>
  <c r="I17" i="9" s="1"/>
  <c r="F17" i="6"/>
  <c r="G17" i="6" s="1"/>
  <c r="O70" i="8"/>
  <c r="AB69" i="8"/>
  <c r="P75" i="9"/>
  <c r="AC14" i="9"/>
  <c r="P69" i="8"/>
  <c r="AC14" i="8"/>
  <c r="H78" i="6"/>
  <c r="J7" i="8"/>
  <c r="J13" i="8" s="1"/>
  <c r="J15" i="8" s="1"/>
  <c r="J16" i="8" s="1"/>
  <c r="I13" i="8"/>
  <c r="I77" i="8" s="1"/>
  <c r="U81" i="9"/>
  <c r="G18" i="6"/>
  <c r="H18" i="6" s="1"/>
  <c r="I13" i="6"/>
  <c r="F21" i="2"/>
  <c r="G21" i="2" s="1"/>
  <c r="O81" i="9"/>
  <c r="I77" i="6"/>
  <c r="H79" i="6"/>
  <c r="I76" i="8"/>
  <c r="H78" i="8"/>
  <c r="F17" i="8"/>
  <c r="G17" i="8" s="1"/>
  <c r="H17" i="8" s="1"/>
  <c r="I84" i="9"/>
  <c r="J82" i="9"/>
  <c r="I22" i="2" l="1"/>
  <c r="J22" i="2" s="1"/>
  <c r="J83" i="9"/>
  <c r="K83" i="9" s="1"/>
  <c r="J17" i="9"/>
  <c r="K17" i="9" s="1"/>
  <c r="K7" i="9"/>
  <c r="L7" i="9" s="1"/>
  <c r="L13" i="9" s="1"/>
  <c r="L15" i="9" s="1"/>
  <c r="L16" i="9" s="1"/>
  <c r="H18" i="9"/>
  <c r="I18" i="9" s="1"/>
  <c r="J18" i="9" s="1"/>
  <c r="M7" i="6"/>
  <c r="N7" i="6" s="1"/>
  <c r="O7" i="6" s="1"/>
  <c r="AB7" i="6" s="1"/>
  <c r="H17" i="6"/>
  <c r="P76" i="9"/>
  <c r="P78" i="9" s="1"/>
  <c r="Q78" i="9" s="1"/>
  <c r="R78" i="9" s="1"/>
  <c r="S78" i="9" s="1"/>
  <c r="T78" i="9" s="1"/>
  <c r="U78" i="9" s="1"/>
  <c r="V78" i="9" s="1"/>
  <c r="W78" i="9" s="1"/>
  <c r="X78" i="9" s="1"/>
  <c r="Y78" i="9" s="1"/>
  <c r="Z78" i="9" s="1"/>
  <c r="AA78" i="9" s="1"/>
  <c r="AC75" i="9"/>
  <c r="AB77" i="8"/>
  <c r="AB78" i="8"/>
  <c r="P70" i="8"/>
  <c r="AC70" i="8" s="1"/>
  <c r="AC69" i="8"/>
  <c r="AB84" i="9"/>
  <c r="AB83" i="9"/>
  <c r="O75" i="8"/>
  <c r="AB70" i="8"/>
  <c r="O72" i="8"/>
  <c r="K7" i="8"/>
  <c r="K13" i="8" s="1"/>
  <c r="K15" i="8" s="1"/>
  <c r="K16" i="8" s="1"/>
  <c r="J77" i="8"/>
  <c r="I15" i="8"/>
  <c r="N13" i="9"/>
  <c r="I15" i="6"/>
  <c r="I16" i="6" s="1"/>
  <c r="I78" i="6"/>
  <c r="J13" i="6"/>
  <c r="J15" i="6" s="1"/>
  <c r="J16" i="6" s="1"/>
  <c r="I79" i="6"/>
  <c r="J77" i="6"/>
  <c r="K82" i="9"/>
  <c r="J84" i="9"/>
  <c r="I78" i="8"/>
  <c r="J76" i="8"/>
  <c r="K22" i="2" l="1"/>
  <c r="M7" i="9"/>
  <c r="M13" i="9" s="1"/>
  <c r="M15" i="9" s="1"/>
  <c r="M16" i="9" s="1"/>
  <c r="L22" i="2" s="1"/>
  <c r="L17" i="9"/>
  <c r="K18" i="9"/>
  <c r="L18" i="9" s="1"/>
  <c r="L83" i="9"/>
  <c r="P7" i="6"/>
  <c r="P72" i="8"/>
  <c r="Q72" i="8" s="1"/>
  <c r="R72" i="8" s="1"/>
  <c r="S72" i="8" s="1"/>
  <c r="T72" i="8" s="1"/>
  <c r="U72" i="8" s="1"/>
  <c r="V72" i="8" s="1"/>
  <c r="W72" i="8" s="1"/>
  <c r="X72" i="8" s="1"/>
  <c r="Y72" i="8" s="1"/>
  <c r="Z72" i="8" s="1"/>
  <c r="AA72" i="8" s="1"/>
  <c r="P75" i="8"/>
  <c r="P81" i="9"/>
  <c r="AC76" i="9"/>
  <c r="L7" i="8"/>
  <c r="M7" i="8" s="1"/>
  <c r="M13" i="8" s="1"/>
  <c r="M15" i="8" s="1"/>
  <c r="M16" i="8" s="1"/>
  <c r="K77" i="8"/>
  <c r="I16" i="8"/>
  <c r="N15" i="9"/>
  <c r="L13" i="6"/>
  <c r="K13" i="6"/>
  <c r="K15" i="6" s="1"/>
  <c r="K16" i="6" s="1"/>
  <c r="I18" i="6"/>
  <c r="J18" i="6" s="1"/>
  <c r="I17" i="6"/>
  <c r="J78" i="6"/>
  <c r="H21" i="2"/>
  <c r="I21" i="2" s="1"/>
  <c r="J79" i="6"/>
  <c r="K77" i="6"/>
  <c r="K76" i="8"/>
  <c r="J78" i="8"/>
  <c r="K84" i="9"/>
  <c r="L82" i="9"/>
  <c r="M83" i="9" l="1"/>
  <c r="N83" i="9" s="1"/>
  <c r="N7" i="9"/>
  <c r="O7" i="9" s="1"/>
  <c r="O13" i="9" s="1"/>
  <c r="M17" i="9"/>
  <c r="M18" i="9"/>
  <c r="Q7" i="6"/>
  <c r="R7" i="6" s="1"/>
  <c r="S7" i="6" s="1"/>
  <c r="T7" i="6" s="1"/>
  <c r="U7" i="6" s="1"/>
  <c r="V7" i="6" s="1"/>
  <c r="W7" i="6" s="1"/>
  <c r="X7" i="6" s="1"/>
  <c r="Y7" i="6" s="1"/>
  <c r="Z7" i="6" s="1"/>
  <c r="AA7" i="6" s="1"/>
  <c r="P13" i="9"/>
  <c r="P15" i="9" s="1"/>
  <c r="L13" i="8"/>
  <c r="L15" i="8" s="1"/>
  <c r="M13" i="6"/>
  <c r="M15" i="6" s="1"/>
  <c r="M16" i="6" s="1"/>
  <c r="N7" i="8"/>
  <c r="H23" i="2"/>
  <c r="I23" i="2" s="1"/>
  <c r="J23" i="2" s="1"/>
  <c r="I18" i="8"/>
  <c r="J18" i="8" s="1"/>
  <c r="K18" i="8" s="1"/>
  <c r="I17" i="8"/>
  <c r="N16" i="9"/>
  <c r="K78" i="6"/>
  <c r="L78" i="6" s="1"/>
  <c r="J17" i="6"/>
  <c r="K17" i="6" s="1"/>
  <c r="K18" i="6"/>
  <c r="J21" i="2"/>
  <c r="L15" i="6"/>
  <c r="L77" i="6"/>
  <c r="K79" i="6"/>
  <c r="M82" i="9"/>
  <c r="L84" i="9"/>
  <c r="K78" i="8"/>
  <c r="L76" i="8"/>
  <c r="O15" i="9" l="1"/>
  <c r="AB13" i="9"/>
  <c r="O83" i="9"/>
  <c r="N18" i="9"/>
  <c r="P7" i="9"/>
  <c r="Q7" i="9" s="1"/>
  <c r="R7" i="9" s="1"/>
  <c r="AB7" i="9"/>
  <c r="AC7" i="6"/>
  <c r="AD7" i="6" s="1"/>
  <c r="P83" i="9"/>
  <c r="L77" i="8"/>
  <c r="M77" i="8" s="1"/>
  <c r="N13" i="6"/>
  <c r="N15" i="6" s="1"/>
  <c r="M78" i="6"/>
  <c r="J17" i="8"/>
  <c r="K17" i="8" s="1"/>
  <c r="O7" i="8"/>
  <c r="AB7" i="8" s="1"/>
  <c r="N13" i="8"/>
  <c r="L16" i="8"/>
  <c r="K23" i="2" s="1"/>
  <c r="L23" i="2" s="1"/>
  <c r="M22" i="2"/>
  <c r="N17" i="9"/>
  <c r="Q13" i="9"/>
  <c r="P16" i="9"/>
  <c r="L16" i="6"/>
  <c r="L17" i="6" s="1"/>
  <c r="M77" i="6"/>
  <c r="L79" i="6"/>
  <c r="L78" i="8"/>
  <c r="M76" i="8"/>
  <c r="N82" i="9"/>
  <c r="M84" i="9"/>
  <c r="Q83" i="9" l="1"/>
  <c r="AB15" i="9"/>
  <c r="O16" i="9"/>
  <c r="O17" i="9" s="1"/>
  <c r="M17" i="6"/>
  <c r="N77" i="8"/>
  <c r="P13" i="6"/>
  <c r="N78" i="6"/>
  <c r="L17" i="8"/>
  <c r="M17" i="8" s="1"/>
  <c r="N15" i="8"/>
  <c r="P7" i="8"/>
  <c r="O13" i="8"/>
  <c r="L18" i="8"/>
  <c r="M18" i="8" s="1"/>
  <c r="S7" i="9"/>
  <c r="R13" i="9"/>
  <c r="Q15" i="9"/>
  <c r="K21" i="2"/>
  <c r="L21" i="2" s="1"/>
  <c r="L18" i="6"/>
  <c r="M18" i="6" s="1"/>
  <c r="N16" i="6"/>
  <c r="N77" i="6"/>
  <c r="M79" i="6"/>
  <c r="O82" i="9"/>
  <c r="N84" i="9"/>
  <c r="N76" i="8"/>
  <c r="M78" i="8"/>
  <c r="N22" i="2" l="1"/>
  <c r="N17" i="6"/>
  <c r="R83" i="9"/>
  <c r="E5" i="2"/>
  <c r="E5" i="12" s="1"/>
  <c r="AB16" i="9"/>
  <c r="O18" i="9"/>
  <c r="O77" i="8"/>
  <c r="O13" i="6"/>
  <c r="O78" i="6" s="1"/>
  <c r="P78" i="6" s="1"/>
  <c r="AB13" i="8"/>
  <c r="N16" i="8"/>
  <c r="N18" i="8" s="1"/>
  <c r="O15" i="8"/>
  <c r="P13" i="8"/>
  <c r="Q7" i="8"/>
  <c r="R15" i="9"/>
  <c r="R16" i="9" s="1"/>
  <c r="Q16" i="9"/>
  <c r="S13" i="9"/>
  <c r="T7" i="9"/>
  <c r="P17" i="9"/>
  <c r="AB17" i="9"/>
  <c r="Q13" i="6"/>
  <c r="Q15" i="6" s="1"/>
  <c r="Q16" i="6" s="1"/>
  <c r="N18" i="6"/>
  <c r="M21" i="2"/>
  <c r="P15" i="6"/>
  <c r="N79" i="6"/>
  <c r="O77" i="6"/>
  <c r="O84" i="9"/>
  <c r="P82" i="9"/>
  <c r="O76" i="8"/>
  <c r="N78" i="8"/>
  <c r="AB18" i="9" l="1"/>
  <c r="P18" i="9"/>
  <c r="Q18" i="9" s="1"/>
  <c r="R18" i="9" s="1"/>
  <c r="P77" i="8"/>
  <c r="AB13" i="6"/>
  <c r="O15" i="6"/>
  <c r="O16" i="6" s="1"/>
  <c r="C5" i="2" s="1"/>
  <c r="C5" i="12" s="1"/>
  <c r="O16" i="8"/>
  <c r="G5" i="2" s="1"/>
  <c r="G5" i="12" s="1"/>
  <c r="R7" i="8"/>
  <c r="Q13" i="8"/>
  <c r="Q15" i="8" s="1"/>
  <c r="Q16" i="8" s="1"/>
  <c r="AB15" i="8"/>
  <c r="P15" i="8"/>
  <c r="P16" i="8" s="1"/>
  <c r="N17" i="8"/>
  <c r="M23" i="2"/>
  <c r="Q17" i="9"/>
  <c r="C26" i="2"/>
  <c r="S15" i="9"/>
  <c r="S16" i="9" s="1"/>
  <c r="S83" i="9"/>
  <c r="U7" i="9"/>
  <c r="T13" i="9"/>
  <c r="T15" i="9" s="1"/>
  <c r="T16" i="9" s="1"/>
  <c r="Q78" i="6"/>
  <c r="R13" i="6"/>
  <c r="P16" i="6"/>
  <c r="P77" i="6"/>
  <c r="O79" i="6"/>
  <c r="O78" i="8"/>
  <c r="P76" i="8"/>
  <c r="P84" i="9"/>
  <c r="Q82" i="9"/>
  <c r="O17" i="6" l="1"/>
  <c r="AB17" i="6" s="1"/>
  <c r="AB15" i="6"/>
  <c r="AB16" i="6"/>
  <c r="N21" i="2"/>
  <c r="O18" i="6"/>
  <c r="P18" i="6" s="1"/>
  <c r="Q18" i="6" s="1"/>
  <c r="AB16" i="8"/>
  <c r="N23" i="2"/>
  <c r="O18" i="8"/>
  <c r="P18" i="8" s="1"/>
  <c r="Q18" i="8" s="1"/>
  <c r="S18" i="9"/>
  <c r="T18" i="9" s="1"/>
  <c r="O17" i="8"/>
  <c r="AB17" i="8" s="1"/>
  <c r="S7" i="8"/>
  <c r="R13" i="8"/>
  <c r="Q77" i="8"/>
  <c r="V7" i="9"/>
  <c r="U13" i="9"/>
  <c r="D26" i="2"/>
  <c r="R17" i="9"/>
  <c r="T83" i="9"/>
  <c r="R78" i="6"/>
  <c r="R15" i="6"/>
  <c r="R16" i="6" s="1"/>
  <c r="S13" i="6"/>
  <c r="S15" i="6" s="1"/>
  <c r="S16" i="6" s="1"/>
  <c r="P79" i="6"/>
  <c r="Q77" i="6"/>
  <c r="Q84" i="9"/>
  <c r="R82" i="9"/>
  <c r="Q76" i="8"/>
  <c r="P78" i="8"/>
  <c r="P17" i="6" l="1"/>
  <c r="C25" i="2" s="1"/>
  <c r="AB18" i="6"/>
  <c r="AB18" i="8"/>
  <c r="P17" i="8"/>
  <c r="R77" i="8"/>
  <c r="R15" i="8"/>
  <c r="R16" i="8" s="1"/>
  <c r="R18" i="8" s="1"/>
  <c r="T7" i="8"/>
  <c r="S13" i="8"/>
  <c r="S15" i="8" s="1"/>
  <c r="S16" i="8" s="1"/>
  <c r="U83" i="9"/>
  <c r="E26" i="2"/>
  <c r="S17" i="9"/>
  <c r="U15" i="9"/>
  <c r="U16" i="9" s="1"/>
  <c r="U18" i="9" s="1"/>
  <c r="W7" i="9"/>
  <c r="V13" i="9"/>
  <c r="V15" i="9" s="1"/>
  <c r="V16" i="9" s="1"/>
  <c r="R18" i="6"/>
  <c r="S18" i="6" s="1"/>
  <c r="T13" i="6"/>
  <c r="T15" i="6" s="1"/>
  <c r="T16" i="6" s="1"/>
  <c r="S78" i="6"/>
  <c r="R77" i="6"/>
  <c r="Q79" i="6"/>
  <c r="S82" i="9"/>
  <c r="R84" i="9"/>
  <c r="Q78" i="8"/>
  <c r="R76" i="8"/>
  <c r="Q17" i="6" l="1"/>
  <c r="D25" i="2" s="1"/>
  <c r="V18" i="9"/>
  <c r="C27" i="2"/>
  <c r="Q17" i="8"/>
  <c r="R17" i="8" s="1"/>
  <c r="S18" i="8"/>
  <c r="U7" i="8"/>
  <c r="T13" i="8"/>
  <c r="S77" i="8"/>
  <c r="V83" i="9"/>
  <c r="X7" i="9"/>
  <c r="W13" i="9"/>
  <c r="W15" i="9" s="1"/>
  <c r="W16" i="9" s="1"/>
  <c r="F26" i="2"/>
  <c r="T17" i="9"/>
  <c r="T18" i="6"/>
  <c r="T78" i="6"/>
  <c r="U13" i="6"/>
  <c r="U15" i="6" s="1"/>
  <c r="S77" i="6"/>
  <c r="R79" i="6"/>
  <c r="S84" i="9"/>
  <c r="T82" i="9"/>
  <c r="R78" i="8"/>
  <c r="S76" i="8"/>
  <c r="R17" i="6" l="1"/>
  <c r="E25" i="2" s="1"/>
  <c r="W18" i="9"/>
  <c r="D27" i="2"/>
  <c r="T15" i="8"/>
  <c r="T16" i="8" s="1"/>
  <c r="T18" i="8" s="1"/>
  <c r="S17" i="8"/>
  <c r="E27" i="2"/>
  <c r="V7" i="8"/>
  <c r="U13" i="8"/>
  <c r="U15" i="8" s="1"/>
  <c r="U16" i="8" s="1"/>
  <c r="T77" i="8"/>
  <c r="W83" i="9"/>
  <c r="U17" i="9"/>
  <c r="E10" i="2" s="1"/>
  <c r="E11" i="12" s="1"/>
  <c r="G26" i="2"/>
  <c r="Y7" i="9"/>
  <c r="X13" i="9"/>
  <c r="V13" i="6"/>
  <c r="U16" i="6"/>
  <c r="U18" i="6" s="1"/>
  <c r="U78" i="6"/>
  <c r="T77" i="6"/>
  <c r="S79" i="6"/>
  <c r="T76" i="8"/>
  <c r="S78" i="8"/>
  <c r="T84" i="9"/>
  <c r="U82" i="9"/>
  <c r="S17" i="6" l="1"/>
  <c r="F25" i="2" s="1"/>
  <c r="X83" i="9"/>
  <c r="U18" i="8"/>
  <c r="U77" i="8"/>
  <c r="W7" i="8"/>
  <c r="V13" i="8"/>
  <c r="V15" i="8" s="1"/>
  <c r="V16" i="8" s="1"/>
  <c r="F27" i="2"/>
  <c r="T17" i="8"/>
  <c r="X15" i="9"/>
  <c r="X16" i="9" s="1"/>
  <c r="X18" i="9" s="1"/>
  <c r="Z7" i="9"/>
  <c r="AA7" i="9" s="1"/>
  <c r="Y13" i="9"/>
  <c r="Y15" i="9" s="1"/>
  <c r="Y16" i="9" s="1"/>
  <c r="V17" i="9"/>
  <c r="H26" i="2"/>
  <c r="V15" i="6"/>
  <c r="V16" i="6" s="1"/>
  <c r="V18" i="6" s="1"/>
  <c r="V78" i="6"/>
  <c r="W13" i="6"/>
  <c r="U77" i="6"/>
  <c r="T79" i="6"/>
  <c r="V82" i="9"/>
  <c r="U84" i="9"/>
  <c r="U76" i="8"/>
  <c r="T78" i="8"/>
  <c r="T17" i="6" l="1"/>
  <c r="G25" i="2" s="1"/>
  <c r="Y18" i="9"/>
  <c r="V18" i="8"/>
  <c r="V77" i="8"/>
  <c r="U17" i="8"/>
  <c r="G10" i="2" s="1"/>
  <c r="G11" i="12" s="1"/>
  <c r="G27" i="2"/>
  <c r="X7" i="8"/>
  <c r="W13" i="8"/>
  <c r="Z13" i="9"/>
  <c r="W17" i="9"/>
  <c r="I26" i="2"/>
  <c r="Y83" i="9"/>
  <c r="W78" i="6"/>
  <c r="W15" i="6"/>
  <c r="W16" i="6" s="1"/>
  <c r="W18" i="6" s="1"/>
  <c r="U17" i="6"/>
  <c r="X13" i="6"/>
  <c r="V77" i="6"/>
  <c r="U79" i="6"/>
  <c r="U78" i="8"/>
  <c r="V76" i="8"/>
  <c r="W82" i="9"/>
  <c r="V84" i="9"/>
  <c r="C10" i="2" l="1"/>
  <c r="C11" i="12" s="1"/>
  <c r="W77" i="8"/>
  <c r="Z83" i="9"/>
  <c r="X78" i="6"/>
  <c r="W15" i="8"/>
  <c r="W16" i="8" s="1"/>
  <c r="V17" i="8"/>
  <c r="H27" i="2"/>
  <c r="Y7" i="8"/>
  <c r="X13" i="8"/>
  <c r="X15" i="8" s="1"/>
  <c r="X16" i="8" s="1"/>
  <c r="J26" i="2"/>
  <c r="X17" i="9"/>
  <c r="Z15" i="9"/>
  <c r="Z16" i="9" s="1"/>
  <c r="Z18" i="9" s="1"/>
  <c r="C29" i="9"/>
  <c r="AA13" i="9"/>
  <c r="AC7" i="9"/>
  <c r="AD7" i="9" s="1"/>
  <c r="Y13" i="6"/>
  <c r="X15" i="6"/>
  <c r="X16" i="6" s="1"/>
  <c r="X18" i="6" s="1"/>
  <c r="V17" i="6"/>
  <c r="H25" i="2"/>
  <c r="W77" i="6"/>
  <c r="V79" i="6"/>
  <c r="X82" i="9"/>
  <c r="W84" i="9"/>
  <c r="V78" i="8"/>
  <c r="W76" i="8"/>
  <c r="Z7" i="8" l="1"/>
  <c r="AA7" i="8" s="1"/>
  <c r="Y13" i="8"/>
  <c r="W18" i="8"/>
  <c r="X18" i="8" s="1"/>
  <c r="W17" i="8"/>
  <c r="I27" i="2"/>
  <c r="X77" i="8"/>
  <c r="AA15" i="9"/>
  <c r="AC13" i="9"/>
  <c r="AA83" i="9"/>
  <c r="Y17" i="9"/>
  <c r="K26" i="2"/>
  <c r="Y15" i="6"/>
  <c r="Y16" i="6" s="1"/>
  <c r="Y18" i="6" s="1"/>
  <c r="I25" i="2"/>
  <c r="W17" i="6"/>
  <c r="Z13" i="6"/>
  <c r="Y78" i="6"/>
  <c r="W79" i="6"/>
  <c r="X77" i="6"/>
  <c r="X76" i="8"/>
  <c r="W78" i="8"/>
  <c r="Y82" i="9"/>
  <c r="X84" i="9"/>
  <c r="Y77" i="8" l="1"/>
  <c r="X17" i="8"/>
  <c r="J27" i="2"/>
  <c r="Y15" i="8"/>
  <c r="Y16" i="8" s="1"/>
  <c r="Z13" i="8"/>
  <c r="Z15" i="8" s="1"/>
  <c r="Z16" i="8" s="1"/>
  <c r="Z17" i="9"/>
  <c r="L26" i="2"/>
  <c r="AA16" i="9"/>
  <c r="AA18" i="9" s="1"/>
  <c r="AC15" i="9"/>
  <c r="AD17" i="9" s="1"/>
  <c r="Z78" i="6"/>
  <c r="Z15" i="6"/>
  <c r="Z16" i="6" s="1"/>
  <c r="Z18" i="6" s="1"/>
  <c r="C29" i="6"/>
  <c r="AA13" i="6"/>
  <c r="X17" i="6"/>
  <c r="J25" i="2"/>
  <c r="Y77" i="6"/>
  <c r="X79" i="6"/>
  <c r="Y84" i="9"/>
  <c r="Z82" i="9"/>
  <c r="Y76" i="8"/>
  <c r="X78" i="8"/>
  <c r="Y18" i="8" l="1"/>
  <c r="Z18" i="8" s="1"/>
  <c r="C29" i="8"/>
  <c r="AA13" i="8"/>
  <c r="AC7" i="8"/>
  <c r="AD7" i="8" s="1"/>
  <c r="Z77" i="8"/>
  <c r="K27" i="2"/>
  <c r="Y17" i="8"/>
  <c r="M26" i="2"/>
  <c r="AA17" i="9"/>
  <c r="E11" i="2" s="1"/>
  <c r="AC16" i="9"/>
  <c r="AD18" i="9" s="1"/>
  <c r="AC18" i="9"/>
  <c r="Y17" i="6"/>
  <c r="K25" i="2"/>
  <c r="AA15" i="6"/>
  <c r="AC15" i="6" s="1"/>
  <c r="AC13" i="6"/>
  <c r="AA78" i="6"/>
  <c r="Z77" i="6"/>
  <c r="Y79" i="6"/>
  <c r="Z84" i="9"/>
  <c r="AA82" i="9"/>
  <c r="AA84" i="9" s="1"/>
  <c r="Z76" i="8"/>
  <c r="Y78" i="8"/>
  <c r="AA77" i="8" l="1"/>
  <c r="Z17" i="8"/>
  <c r="L27" i="2"/>
  <c r="AA15" i="8"/>
  <c r="AC13" i="8"/>
  <c r="E12" i="12"/>
  <c r="N26" i="2"/>
  <c r="AC17" i="9"/>
  <c r="AD17" i="6"/>
  <c r="Z17" i="6"/>
  <c r="L25" i="2"/>
  <c r="AA16" i="6"/>
  <c r="Z79" i="6"/>
  <c r="AA77" i="6"/>
  <c r="AA79" i="6" s="1"/>
  <c r="Z78" i="8"/>
  <c r="AA76" i="8"/>
  <c r="AA78" i="8" s="1"/>
  <c r="AA16" i="8" l="1"/>
  <c r="AC15" i="8"/>
  <c r="AD17" i="8" s="1"/>
  <c r="M27" i="2"/>
  <c r="AC16" i="6"/>
  <c r="AD18" i="6" s="1"/>
  <c r="AA18" i="6"/>
  <c r="AC18" i="6" s="1"/>
  <c r="AA17" i="6"/>
  <c r="C11" i="2" s="1"/>
  <c r="M25" i="2"/>
  <c r="AA17" i="8" l="1"/>
  <c r="G11" i="2" s="1"/>
  <c r="AA18" i="8"/>
  <c r="AC18" i="8" s="1"/>
  <c r="AC16" i="8"/>
  <c r="AD18" i="8" s="1"/>
  <c r="N25" i="2"/>
  <c r="C12" i="12"/>
  <c r="AC17" i="6"/>
  <c r="AC17" i="8" l="1"/>
  <c r="G12" i="12"/>
  <c r="N27" i="2"/>
</calcChain>
</file>

<file path=xl/sharedStrings.xml><?xml version="1.0" encoding="utf-8"?>
<sst xmlns="http://schemas.openxmlformats.org/spreadsheetml/2006/main" count="396" uniqueCount="161">
  <si>
    <t>БЮДЖЕТ ДДС, СТМ-ФРАНЧАЙЗИ</t>
  </si>
  <si>
    <t>1-й мес</t>
  </si>
  <si>
    <t>2-й мес</t>
  </si>
  <si>
    <t>3-й мес</t>
  </si>
  <si>
    <t>4-й мес</t>
  </si>
  <si>
    <t>5-й мес</t>
  </si>
  <si>
    <t>6-й мес</t>
  </si>
  <si>
    <t>7-й мес</t>
  </si>
  <si>
    <t>8-й мес</t>
  </si>
  <si>
    <t>9-й мес</t>
  </si>
  <si>
    <t>10-й мес</t>
  </si>
  <si>
    <t>11-й мес</t>
  </si>
  <si>
    <t>12-й мес</t>
  </si>
  <si>
    <t>13-й мес</t>
  </si>
  <si>
    <t>14-й мес</t>
  </si>
  <si>
    <t>15-й мес</t>
  </si>
  <si>
    <t>16-й мес</t>
  </si>
  <si>
    <t>17-й мес</t>
  </si>
  <si>
    <t>18-й мес</t>
  </si>
  <si>
    <t>19-й мес</t>
  </si>
  <si>
    <t>20-й мес</t>
  </si>
  <si>
    <t>21-й мес</t>
  </si>
  <si>
    <t>22-й мес</t>
  </si>
  <si>
    <t>23-й мес</t>
  </si>
  <si>
    <t>24-й мес</t>
  </si>
  <si>
    <t>итого, 1-й год</t>
  </si>
  <si>
    <t>итого, 2-й год</t>
  </si>
  <si>
    <t>ФОТ</t>
  </si>
  <si>
    <t>БАЛАНС</t>
  </si>
  <si>
    <t>ФОТ  min</t>
  </si>
  <si>
    <t>НАЦЕНКА Т.Т.</t>
  </si>
  <si>
    <t>АРЕНДА Т.Т.</t>
  </si>
  <si>
    <t>КОЛ-ВО ЗАКАЗОВ   на 12-й МЕС</t>
  </si>
  <si>
    <t>ФОТ max</t>
  </si>
  <si>
    <t>НАЦЕНКА НФ</t>
  </si>
  <si>
    <t>РАЗМЕР ПРЕДОПЛАТЫ ЗА ЭКСПОЗИЦИЮ</t>
  </si>
  <si>
    <t>1 мес</t>
  </si>
  <si>
    <t>2 мес</t>
  </si>
  <si>
    <t>3 мес</t>
  </si>
  <si>
    <t>4 мес</t>
  </si>
  <si>
    <t>5 мес</t>
  </si>
  <si>
    <t>6 мес</t>
  </si>
  <si>
    <t>7 мес</t>
  </si>
  <si>
    <t>8 мес</t>
  </si>
  <si>
    <t>9 мес</t>
  </si>
  <si>
    <t>10 мес</t>
  </si>
  <si>
    <t>11 мес</t>
  </si>
  <si>
    <t>12 мес</t>
  </si>
  <si>
    <t xml:space="preserve">ФИН. РЕЗ. НФ </t>
  </si>
  <si>
    <t>1 год</t>
  </si>
  <si>
    <t>2-й год</t>
  </si>
  <si>
    <t>3-й год</t>
  </si>
  <si>
    <t xml:space="preserve">Выручка опт. от СТМ </t>
  </si>
  <si>
    <t>Наценка НФ</t>
  </si>
  <si>
    <t>Наценка НФ нараст. итогом</t>
  </si>
  <si>
    <t>проверка, наценка НФ</t>
  </si>
  <si>
    <t>Выручка нараст. итогом</t>
  </si>
  <si>
    <t>Расходы нараст. итогом</t>
  </si>
  <si>
    <t>Наценка т.т.  нараст. итогом</t>
  </si>
  <si>
    <t>АРЕНДНАЯ СТАВКА, РУБ./МЕС. ЗА КВ.М.</t>
  </si>
  <si>
    <t>ПЛОЩАДЬ САЛОНА</t>
  </si>
  <si>
    <t>подгот. период</t>
  </si>
  <si>
    <t>MIN РЕКЛАМНЫЕ РАСХОДЫ НА СТАРТЕ</t>
  </si>
  <si>
    <t>РЕКЛАМНЫЕ РАСХОДЫ, % ОТ ВЫРУЧКИ</t>
  </si>
  <si>
    <t>ВЫПЛАТЫ ЗА ЭКСПОЗИЦИЮ, % ОТ ВЫРУЧКИ</t>
  </si>
  <si>
    <t>СТОИМОСТЬ  В ЭКСПОЗИЦИИ</t>
  </si>
  <si>
    <t xml:space="preserve">ИНВЕСТИЦИИ В РЕМОНТ и  ПОДГОТОВКУ САЛОНА. </t>
  </si>
  <si>
    <t xml:space="preserve">ИНВЕСТИЦИИ В РЕМОНТ и  ПОДГОТОВКУ САЛОНА </t>
  </si>
  <si>
    <t>ИНВЕСТИЦИИ В РЕМОНТ И ПОДГОТОВКУ САЛОНА</t>
  </si>
  <si>
    <t xml:space="preserve">ДИНАМИКА РОСТА ЗАКАЗОВ САЛОНА </t>
  </si>
  <si>
    <t>ИНВЕСТИЦИИ В РЕМОНТ И ОБУСТРОЙСТВО САЛОНА</t>
  </si>
  <si>
    <t>цена за ед.</t>
  </si>
  <si>
    <t>Подсветка образцов</t>
  </si>
  <si>
    <t>Рабочие места - столы</t>
  </si>
  <si>
    <t>Компьютеры для рабочих мест</t>
  </si>
  <si>
    <t>Кассовый аппарат</t>
  </si>
  <si>
    <t>Монтаж образцов</t>
  </si>
  <si>
    <t>Рекламная вывеска</t>
  </si>
  <si>
    <t>Музыка</t>
  </si>
  <si>
    <t>Камеры</t>
  </si>
  <si>
    <t>ИНВЕСТИЦИИ</t>
  </si>
  <si>
    <t>Количество образцов в экспозиции, кухни</t>
  </si>
  <si>
    <t xml:space="preserve">Количество рабочих мест </t>
  </si>
  <si>
    <r>
      <t>Ремонт</t>
    </r>
    <r>
      <rPr>
        <i/>
        <sz val="10"/>
        <color rgb="FF1C4372"/>
        <rFont val="Calibri"/>
        <family val="2"/>
        <charset val="204"/>
        <scheme val="minor"/>
      </rPr>
      <t>(косметический+монтаж перегородок для образцов)</t>
    </r>
  </si>
  <si>
    <t>Транспортные расходы (доставка образцов в регион)</t>
  </si>
  <si>
    <t>ПРИБЫЛЬ/УБЫТКИ НАРАСТАЮЩИМ ИТОГОМ</t>
  </si>
  <si>
    <t>НАЛОГИ</t>
  </si>
  <si>
    <t xml:space="preserve"> ВЫРУЧКА  на 12-й мес.</t>
  </si>
  <si>
    <t>ДОЛЯ КУХОННОЙ МЕБЕЛИ В ЗАКАЗЕ</t>
  </si>
  <si>
    <t>ДОЛЯ ТЕХНИКИ В ЗАКАЗЕ</t>
  </si>
  <si>
    <t>РОЗН. НАЦЕНКА НА КУХОННУЮ МЕБЕЛЬ</t>
  </si>
  <si>
    <t>РОЗН. НАЦЕНКА НА ТЕХНИКУ</t>
  </si>
  <si>
    <t>Принтер, копир,  сервер</t>
  </si>
  <si>
    <t>ЭКСПЛУАТАЦИОННЫЕ РАСХОДЫ</t>
  </si>
  <si>
    <t xml:space="preserve"> КОЛИЧЕСТВО ЗАКАЗОВ на 12-й мес</t>
  </si>
  <si>
    <t>"СРЕДНИЙ ЧЕК" ЗАКАЗА</t>
  </si>
  <si>
    <t>НАЦЕНКА САЛОНА</t>
  </si>
  <si>
    <r>
      <t xml:space="preserve">ЭКСПЛУАТАЦИОННЫЕ РАСХОДЫ, </t>
    </r>
    <r>
      <rPr>
        <i/>
        <sz val="9"/>
        <color rgb="FF1A3D68"/>
        <rFont val="Calibri"/>
        <family val="2"/>
        <charset val="204"/>
        <scheme val="minor"/>
      </rPr>
      <t>МЕС</t>
    </r>
  </si>
  <si>
    <r>
      <t xml:space="preserve">MIN РЕКЛАМНЫЕ РАСХОДЫ НА СТАРТЕ, </t>
    </r>
    <r>
      <rPr>
        <i/>
        <sz val="9"/>
        <color rgb="FF1A3D68"/>
        <rFont val="Calibri"/>
        <family val="2"/>
        <charset val="204"/>
        <scheme val="minor"/>
      </rPr>
      <t>МЕС</t>
    </r>
  </si>
  <si>
    <t>* РАСЧЕТ БЕЗ УЧЕТА ДОХОДА САЛОНА ОТ РЕАЛИЗАЦИИ БЫТОВОЙ ТЕХНИКИ</t>
  </si>
  <si>
    <r>
      <t xml:space="preserve">АРЕНДНАЯ СТАВКА, </t>
    </r>
    <r>
      <rPr>
        <i/>
        <sz val="8.5"/>
        <color rgb="FF1A3D68"/>
        <rFont val="Calibri"/>
        <family val="2"/>
        <charset val="204"/>
        <scheme val="minor"/>
      </rPr>
      <t xml:space="preserve">РУБ/МЕС </t>
    </r>
    <r>
      <rPr>
        <i/>
        <sz val="9.5"/>
        <color rgb="FF1A3D68"/>
        <rFont val="Calibri"/>
        <family val="2"/>
        <charset val="204"/>
        <scheme val="minor"/>
      </rPr>
      <t xml:space="preserve">за </t>
    </r>
    <r>
      <rPr>
        <i/>
        <sz val="9"/>
        <color rgb="FF1A3D68"/>
        <rFont val="Calibri"/>
        <family val="2"/>
        <charset val="204"/>
        <scheme val="minor"/>
      </rPr>
      <t>кв.м.</t>
    </r>
  </si>
  <si>
    <r>
      <t xml:space="preserve">ВЫРУЧКА, </t>
    </r>
    <r>
      <rPr>
        <i/>
        <sz val="8.5"/>
        <color rgb="FF1A3D68"/>
        <rFont val="Calibri"/>
        <family val="2"/>
        <charset val="204"/>
        <scheme val="minor"/>
      </rPr>
      <t>РУБ</t>
    </r>
  </si>
  <si>
    <r>
      <t xml:space="preserve">ПРИБЫЛЬ, </t>
    </r>
    <r>
      <rPr>
        <i/>
        <sz val="8.5"/>
        <color rgb="FF1A3D68"/>
        <rFont val="Calibri"/>
        <family val="2"/>
        <charset val="204"/>
        <scheme val="minor"/>
      </rPr>
      <t xml:space="preserve">РУБ/МЕС  </t>
    </r>
  </si>
  <si>
    <t>СУММА ЗАКАЗОВ</t>
  </si>
  <si>
    <t>КОЛИЧЕСТВО ЗАКАЗОВ</t>
  </si>
  <si>
    <t>ИНВЕСТИЦИИ В ОБРАЗЦЫ</t>
  </si>
  <si>
    <t>АРЕНДА</t>
  </si>
  <si>
    <t>РЕКЛАМНЫЕ РАСХОДЫ САЛОНА</t>
  </si>
  <si>
    <t>ИТОГО, РАСХОДЫ:</t>
  </si>
  <si>
    <t>НАЦЕНКА С ЗАКАЗОВ</t>
  </si>
  <si>
    <t>ПРИБЫЛЬ/УБЫТКИ</t>
  </si>
  <si>
    <t>ДИНАМИКА РОСТА ЗАКАЗОВ</t>
  </si>
  <si>
    <t>300 кв.м.</t>
  </si>
  <si>
    <t>ФИНАНСОВЫЕ РЕЗУЛЬТАТЫ САЛОНА</t>
  </si>
  <si>
    <t>ИНВЕСТИЦИИ В ОБРАЗЦЫ, ВЫПЛАТЫ В РАССРОЧКУ</t>
  </si>
  <si>
    <t>САЛОН ZETTA-ФРАНЧАЙЗИ 300 кв.м.</t>
  </si>
  <si>
    <t>ПРИБЫЛЬ/УБЫТКИ нарастающим итогом</t>
  </si>
  <si>
    <t>КОЛИЧЕСТВО ОБРАЗЦОВ В ЭКСПОЗИЦИИ</t>
  </si>
  <si>
    <t>Площадь салона</t>
  </si>
  <si>
    <t>450 кв.м.</t>
  </si>
  <si>
    <t>600 кв.м.</t>
  </si>
  <si>
    <t>КОЛИЧЕСТВО ПРОДАВАЕМЫХ КУХОНЬ, руб/мес</t>
  </si>
  <si>
    <t>РАСХОДЫ НА РЕКЛАМУ, руб/мес</t>
  </si>
  <si>
    <t>ФОТ, руб/мес</t>
  </si>
  <si>
    <t>ЭКСПЛУАТАЦИОННЫЕ РАСХОДЫ, руб/ме</t>
  </si>
  <si>
    <t>ВЫРУЧКА, руб/мес</t>
  </si>
  <si>
    <t>СРОК ОКУПАЕМОСТИ ИНВЕСТИЦИЙ, МЕС</t>
  </si>
  <si>
    <t>РЕНТАБЕЛЬНОСТЬ ИНВЕСТИЦИЙ с 2-го ГОДА</t>
  </si>
  <si>
    <t>ВЫРУЧКА, РУБ</t>
  </si>
  <si>
    <t xml:space="preserve">ПРИБЫЛЬ, РУБ/МЕС  </t>
  </si>
  <si>
    <t>ИНВЕСТИЦИИ В ЭКСПОЗИЦИЮ, РУБ</t>
  </si>
  <si>
    <t>ПРИБЫЛЬ, руб/мес</t>
  </si>
  <si>
    <t>ИНВЕСТИЦИИ В ЭКСПОЗИЦИЮ,  руб</t>
  </si>
  <si>
    <t>ИНВЕСТИЦИИ В РЕМОНТ И ПОДГОТОВКУ САЛОНА, руб</t>
  </si>
  <si>
    <t>СРОК ОКУПАЕМОСТИ ИНВЕСТИЦИЙ, мес</t>
  </si>
  <si>
    <t xml:space="preserve">РЕНТАБЕЛЬНОСТЬ ИНВЕСТИЦИЙ </t>
  </si>
  <si>
    <t>ФОТ, РУБ./МЕС</t>
  </si>
  <si>
    <t>РАСХОДЫ НА РЕКЛАМУ, руб. мес</t>
  </si>
  <si>
    <t>САЛОН ZETTA-ФРАНЧАЙЗИ 450 кв.м.</t>
  </si>
  <si>
    <t>САЛОН ZETTA-ФРАНЧАЙЗИ 600 кв.м.</t>
  </si>
  <si>
    <r>
      <t xml:space="preserve">РАСХОДЫ НА РЕКЛАМУ, </t>
    </r>
    <r>
      <rPr>
        <i/>
        <sz val="9"/>
        <color rgb="FF1A3D68"/>
        <rFont val="Calibri"/>
        <family val="2"/>
        <charset val="204"/>
        <scheme val="minor"/>
      </rPr>
      <t>Р</t>
    </r>
    <r>
      <rPr>
        <i/>
        <sz val="8.5"/>
        <color rgb="FF1A3D68"/>
        <rFont val="Calibri"/>
        <family val="2"/>
        <charset val="204"/>
        <scheme val="minor"/>
      </rPr>
      <t>УБ./МЕС</t>
    </r>
  </si>
  <si>
    <r>
      <t xml:space="preserve">ФОТ, </t>
    </r>
    <r>
      <rPr>
        <i/>
        <sz val="8.5"/>
        <color rgb="FF1A3D68"/>
        <rFont val="Calibri"/>
        <family val="2"/>
        <charset val="204"/>
        <scheme val="minor"/>
      </rPr>
      <t>РУБ./МЕС</t>
    </r>
  </si>
  <si>
    <t>Ключи для ПО "К3"</t>
  </si>
  <si>
    <t xml:space="preserve">НАЛОГИ, ИП УСНО </t>
  </si>
  <si>
    <r>
      <t xml:space="preserve"> КОЛИЧЕСТВО ЗАКАЗОВ, </t>
    </r>
    <r>
      <rPr>
        <i/>
        <sz val="8"/>
        <color rgb="FF1A3D68"/>
        <rFont val="Calibri"/>
        <family val="2"/>
        <charset val="204"/>
        <scheme val="minor"/>
      </rPr>
      <t>МЕС</t>
    </r>
  </si>
  <si>
    <r>
      <t xml:space="preserve">ИНВЕСТИЦИИ В РЕМОНТ И ПОДГОТОВКУ САЛОНА, </t>
    </r>
    <r>
      <rPr>
        <i/>
        <sz val="8"/>
        <color rgb="FF1A3D68"/>
        <rFont val="Calibri"/>
        <family val="2"/>
        <charset val="204"/>
        <scheme val="minor"/>
      </rPr>
      <t>РУБ</t>
    </r>
  </si>
  <si>
    <r>
      <t xml:space="preserve">ФОТ САЛОНА MIN, </t>
    </r>
    <r>
      <rPr>
        <i/>
        <sz val="9"/>
        <color rgb="FF1A3D68"/>
        <rFont val="Calibri"/>
        <family val="2"/>
        <charset val="204"/>
        <scheme val="minor"/>
      </rPr>
      <t>МЕС</t>
    </r>
  </si>
  <si>
    <r>
      <t>ФОТ САЛОНА MAX,</t>
    </r>
    <r>
      <rPr>
        <i/>
        <sz val="9"/>
        <color rgb="FF1A3D68"/>
        <rFont val="Calibri"/>
        <family val="2"/>
        <charset val="204"/>
        <scheme val="minor"/>
      </rPr>
      <t>МЕС (% ОТ ВЫРУЧКИ)</t>
    </r>
  </si>
  <si>
    <t>СРЕДНЯЯ СТОИМОСТЬ ОБРАЗЦА с БТ и АКСЕССУАРАМИ</t>
  </si>
  <si>
    <t xml:space="preserve">В ЯЧЕЙКЕ, ВЫДЕЛЕННОЙ СВЕТЛО-СИНИМ ЦВЕТОМ -  ВАРЬИРУЕМЫЙ ПАРАМЕТР </t>
  </si>
  <si>
    <t>Депозит арендодателю</t>
  </si>
  <si>
    <t>Прочие расходы</t>
  </si>
  <si>
    <t>СРЕДНИЙ ЧЕК, МЕБЕЛЬ*</t>
  </si>
  <si>
    <t>ИНВЕСТИЦИИ В ЭКСПОЗИЦИЮ **</t>
  </si>
  <si>
    <t>** СТОИМОСТЬ  ОБРАЗЦОВ  с БЫТОВОЙ ТЕХНИКОЙ и АКСЕССУАРАМИ</t>
  </si>
  <si>
    <r>
      <t xml:space="preserve">ИНВЕСТИЦИИ В ЭКСПОЗИЦИЮ СТАРТОВЫЕ, </t>
    </r>
    <r>
      <rPr>
        <i/>
        <sz val="8.5"/>
        <color rgb="FF1A3D68"/>
        <rFont val="Calibri"/>
        <family val="2"/>
        <charset val="204"/>
        <scheme val="minor"/>
      </rPr>
      <t>РУБ</t>
    </r>
  </si>
  <si>
    <t>ВЫПЛАТЫ ЗА ЭКСПОЗИЦИЮ, % ОТ ВЫРУЧКИ в дилерских ценах</t>
  </si>
  <si>
    <t>**** В РАСЧЕТНУЮ БАЗУ СУММЫ ИНВЕСТИЦИЙ ВКЛЮЧЕНЫ СТАРТОВЫЕ ИНВЕСТИЦИИ ПЛЮС ВЫПЛАТЫ ЗА ОБРАЗЦЫ В РССРОЧКУ</t>
  </si>
  <si>
    <t>РЕНТАБЕЛЬНОСТЬ ИНВЕСТИЦИЙ****</t>
  </si>
  <si>
    <r>
      <t xml:space="preserve">СРОК ОКУПАЕМОСТИ ИНВЕСТИЦИЙ, </t>
    </r>
    <r>
      <rPr>
        <i/>
        <sz val="8.5"/>
        <color rgb="FF1A3D68"/>
        <rFont val="Calibri"/>
        <family val="2"/>
        <charset val="204"/>
        <scheme val="minor"/>
      </rPr>
      <t>МЕС ***</t>
    </r>
  </si>
  <si>
    <t>*** В РАСЧЕТНУЮ БАЗУ ИНВЕСТИЦИЙ НЕ ВХОДИТ СУММЫ ВЫПЛАТ ЗА ОБРАЗЦЫ В РАССРОЧКУ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</si>
</sst>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_-* #,##0_р_._-;\-* #,##0_р_._-;_-* &quot;-&quot;??_р_._-;_-@"/>
    <numFmt numFmtId="167" formatCode="#,##0_ ;[Red]\-#,##0\ "/>
    <numFmt numFmtId="168" formatCode="0.0%"/>
    <numFmt numFmtId="169" formatCode="#,##0_ ;\-#,##0\ "/>
    <numFmt numFmtId="170" formatCode="_-* #,##0.0_р_._-;\-* #,##0.0_р_._-;_-* &quot;-&quot;??_р_._-;_-@_-"/>
    <numFmt numFmtId="171" formatCode="_-* #,##0.0\ _₽_-;\-* #,##0.0\ _₽_-;_-* &quot;-&quot;?\ _₽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1B416F"/>
      <name val="Calibri"/>
      <family val="2"/>
      <charset val="204"/>
      <scheme val="minor"/>
    </font>
    <font>
      <b/>
      <i/>
      <sz val="10"/>
      <color rgb="FFCCFFFF"/>
      <name val="Calibri"/>
      <family val="2"/>
      <charset val="204"/>
    </font>
    <font>
      <b/>
      <i/>
      <sz val="10.5"/>
      <color theme="0"/>
      <name val="Calibri"/>
      <family val="2"/>
      <charset val="204"/>
      <scheme val="minor"/>
    </font>
    <font>
      <i/>
      <sz val="11"/>
      <color theme="0" tint="-4.9989318521683403E-2"/>
      <name val="Calibri"/>
      <family val="2"/>
      <charset val="204"/>
      <scheme val="minor"/>
    </font>
    <font>
      <i/>
      <sz val="11.5"/>
      <color rgb="FF1B416F"/>
      <name val="Calibri"/>
      <family val="2"/>
      <charset val="204"/>
      <scheme val="minor"/>
    </font>
    <font>
      <i/>
      <sz val="10.5"/>
      <color rgb="FF1B416F"/>
      <name val="Calibri"/>
      <family val="2"/>
      <charset val="204"/>
      <scheme val="minor"/>
    </font>
    <font>
      <i/>
      <sz val="10.5"/>
      <color theme="0" tint="-0.499984740745262"/>
      <name val="Calibri"/>
      <family val="2"/>
      <charset val="204"/>
      <scheme val="minor"/>
    </font>
    <font>
      <i/>
      <sz val="10"/>
      <color rgb="FF1B416F"/>
      <name val="Calibri"/>
      <family val="2"/>
      <charset val="204"/>
      <scheme val="minor"/>
    </font>
    <font>
      <i/>
      <sz val="11"/>
      <color rgb="FF1B416F"/>
      <name val="Calibri"/>
      <family val="2"/>
      <charset val="204"/>
      <scheme val="minor"/>
    </font>
    <font>
      <b/>
      <i/>
      <sz val="12"/>
      <color rgb="FFCCFFFF"/>
      <name val="Calibri"/>
      <family val="2"/>
      <charset val="204"/>
    </font>
    <font>
      <i/>
      <sz val="11"/>
      <color theme="0" tint="-0.499984740745262"/>
      <name val="Calibri"/>
      <family val="2"/>
      <charset val="204"/>
      <scheme val="minor"/>
    </font>
    <font>
      <u/>
      <sz val="11"/>
      <color rgb="FF1B416F"/>
      <name val="Calibri"/>
      <family val="2"/>
      <charset val="204"/>
      <scheme val="minor"/>
    </font>
    <font>
      <sz val="11"/>
      <color theme="3" tint="-0.249977111117893"/>
      <name val="Calibri"/>
      <family val="2"/>
      <charset val="204"/>
      <scheme val="minor"/>
    </font>
    <font>
      <i/>
      <sz val="10.5"/>
      <color theme="3" tint="-0.249977111117893"/>
      <name val="Calibri"/>
      <family val="2"/>
      <charset val="204"/>
      <scheme val="minor"/>
    </font>
    <font>
      <i/>
      <sz val="9"/>
      <color theme="0" tint="-0.34998626667073579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1A3D68"/>
      <name val="Calibri"/>
      <family val="2"/>
      <charset val="204"/>
      <scheme val="minor"/>
    </font>
    <font>
      <sz val="8"/>
      <color rgb="FF1A3D68"/>
      <name val="Calibri"/>
      <family val="2"/>
      <charset val="204"/>
      <scheme val="minor"/>
    </font>
    <font>
      <i/>
      <sz val="8.5"/>
      <color rgb="FF1A3D68"/>
      <name val="Calibri"/>
      <family val="2"/>
      <charset val="204"/>
      <scheme val="minor"/>
    </font>
    <font>
      <sz val="8.5"/>
      <color rgb="FF1A3D68"/>
      <name val="Calibri"/>
      <family val="2"/>
      <charset val="204"/>
      <scheme val="minor"/>
    </font>
    <font>
      <i/>
      <sz val="8.5"/>
      <color rgb="FF1A3D68"/>
      <name val="Calibri"/>
      <family val="2"/>
      <charset val="204"/>
    </font>
    <font>
      <b/>
      <i/>
      <sz val="9.5"/>
      <color theme="0"/>
      <name val="Calibri"/>
      <family val="2"/>
      <charset val="204"/>
      <scheme val="minor"/>
    </font>
    <font>
      <sz val="10"/>
      <color rgb="FF1A3D68"/>
      <name val="Calibri"/>
      <family val="2"/>
      <charset val="204"/>
      <scheme val="minor"/>
    </font>
    <font>
      <b/>
      <i/>
      <sz val="11"/>
      <color rgb="FF1C4372"/>
      <name val="Calibri"/>
      <family val="2"/>
      <charset val="204"/>
      <scheme val="minor"/>
    </font>
    <font>
      <i/>
      <sz val="11"/>
      <color rgb="FF1C4372"/>
      <name val="Calibri"/>
      <family val="2"/>
      <charset val="204"/>
      <scheme val="minor"/>
    </font>
    <font>
      <i/>
      <sz val="10"/>
      <color rgb="FF1C4372"/>
      <name val="Calibri"/>
      <family val="2"/>
      <charset val="204"/>
      <scheme val="minor"/>
    </font>
    <font>
      <i/>
      <sz val="11"/>
      <color rgb="FF1A3D68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i/>
      <sz val="12"/>
      <color rgb="FF1C437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3" tint="0.39997558519241921"/>
      <name val="Calibri"/>
      <family val="2"/>
      <charset val="204"/>
    </font>
    <font>
      <i/>
      <sz val="9"/>
      <color rgb="FF1A3D68"/>
      <name val="Calibri"/>
      <family val="2"/>
      <charset val="204"/>
      <scheme val="minor"/>
    </font>
    <font>
      <b/>
      <i/>
      <sz val="9"/>
      <color theme="0"/>
      <name val="Calibri"/>
      <family val="2"/>
      <charset val="204"/>
    </font>
    <font>
      <i/>
      <sz val="9.5"/>
      <color rgb="FF1A3D68"/>
      <name val="Calibri"/>
      <family val="2"/>
      <charset val="204"/>
      <scheme val="minor"/>
    </font>
    <font>
      <i/>
      <sz val="9.5"/>
      <color rgb="FF1A3D68"/>
      <name val="Calibri"/>
      <family val="2"/>
      <charset val="204"/>
    </font>
    <font>
      <sz val="9.5"/>
      <color rgb="FF1A3D68"/>
      <name val="Calibri"/>
      <family val="2"/>
      <charset val="204"/>
      <scheme val="minor"/>
    </font>
    <font>
      <b/>
      <sz val="9.5"/>
      <color rgb="FF1A3D68"/>
      <name val="Calibri"/>
      <family val="2"/>
      <charset val="204"/>
      <scheme val="minor"/>
    </font>
    <font>
      <sz val="9.5"/>
      <color theme="0"/>
      <name val="Calibri"/>
      <family val="2"/>
      <charset val="204"/>
      <scheme val="minor"/>
    </font>
    <font>
      <b/>
      <i/>
      <sz val="10"/>
      <color theme="0"/>
      <name val="Calibri"/>
      <family val="2"/>
      <charset val="204"/>
      <scheme val="minor"/>
    </font>
    <font>
      <i/>
      <sz val="11"/>
      <color rgb="FF204C82"/>
      <name val="Calibri"/>
      <family val="2"/>
      <charset val="204"/>
      <scheme val="minor"/>
    </font>
    <font>
      <sz val="11"/>
      <color rgb="FF204C82"/>
      <name val="Calibri"/>
      <family val="2"/>
      <charset val="204"/>
      <scheme val="minor"/>
    </font>
    <font>
      <i/>
      <sz val="8"/>
      <color rgb="FF204C82"/>
      <name val="Calibri"/>
      <family val="2"/>
      <charset val="204"/>
      <scheme val="minor"/>
    </font>
    <font>
      <i/>
      <sz val="10.5"/>
      <color rgb="FF204C82"/>
      <name val="Calibri"/>
      <family val="2"/>
      <charset val="204"/>
      <scheme val="minor"/>
    </font>
    <font>
      <sz val="10.5"/>
      <color theme="3" tint="-0.249977111117893"/>
      <name val="Calibri"/>
      <family val="2"/>
      <charset val="204"/>
      <scheme val="minor"/>
    </font>
    <font>
      <i/>
      <sz val="10.5"/>
      <color rgb="FF204C82"/>
      <name val="Calibri"/>
      <family val="2"/>
      <charset val="204"/>
    </font>
    <font>
      <sz val="10.5"/>
      <color rgb="FF204C82"/>
      <name val="Calibri"/>
      <family val="2"/>
      <charset val="204"/>
      <scheme val="minor"/>
    </font>
    <font>
      <b/>
      <i/>
      <sz val="10.5"/>
      <color rgb="FFCCFFFF"/>
      <name val="Calibri"/>
      <family val="2"/>
      <charset val="204"/>
    </font>
    <font>
      <i/>
      <sz val="10"/>
      <color theme="0" tint="-0.499984740745262"/>
      <name val="Calibri"/>
      <family val="2"/>
      <charset val="204"/>
      <scheme val="minor"/>
    </font>
    <font>
      <i/>
      <sz val="8"/>
      <color theme="0" tint="-0.34998626667073579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  <font>
      <i/>
      <sz val="10.5"/>
      <color theme="3" tint="0.39997558519241921"/>
      <name val="Calibri"/>
      <family val="2"/>
      <charset val="204"/>
    </font>
    <font>
      <i/>
      <sz val="10"/>
      <color rgb="FF204C82"/>
      <name val="Calibri"/>
      <family val="2"/>
      <charset val="204"/>
      <scheme val="minor"/>
    </font>
    <font>
      <i/>
      <sz val="8"/>
      <color rgb="FF1A3D68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55997"/>
        <bgColor rgb="FF255997"/>
      </patternFill>
    </fill>
    <fill>
      <patternFill patternType="solid">
        <fgColor rgb="FFFF0066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23538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6699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double">
        <color theme="3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 style="medium">
        <color theme="0"/>
      </top>
      <bottom/>
      <diagonal/>
    </border>
    <border>
      <left/>
      <right/>
      <top/>
      <bottom style="medium">
        <color theme="3" tint="0.59999389629810485"/>
      </bottom>
      <diagonal/>
    </border>
    <border>
      <left/>
      <right/>
      <top/>
      <bottom style="double">
        <color theme="3" tint="0.59999389629810485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theme="0"/>
      </bottom>
      <diagonal/>
    </border>
    <border>
      <left/>
      <right/>
      <top style="thin">
        <color rgb="FFFFFFFF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/>
      <top style="thin">
        <color rgb="FFFFFFFF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rgb="FFFFFFFF"/>
      </top>
      <bottom style="medium">
        <color theme="0"/>
      </bottom>
      <diagonal/>
    </border>
    <border>
      <left/>
      <right style="thin">
        <color rgb="FFFFFFFF"/>
      </right>
      <top style="thin">
        <color rgb="FFFFFFFF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/>
    <xf numFmtId="17" fontId="3" fillId="2" borderId="1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left" vertical="center" indent="1"/>
    </xf>
    <xf numFmtId="0" fontId="7" fillId="0" borderId="0" xfId="0" applyFont="1"/>
    <xf numFmtId="165" fontId="7" fillId="0" borderId="0" xfId="1" applyNumberFormat="1" applyFont="1" applyAlignment="1">
      <alignment vertical="center"/>
    </xf>
    <xf numFmtId="165" fontId="7" fillId="0" borderId="0" xfId="0" applyNumberFormat="1" applyFont="1" applyAlignment="1">
      <alignment vertical="center"/>
    </xf>
    <xf numFmtId="165" fontId="7" fillId="0" borderId="0" xfId="1" applyNumberFormat="1" applyFont="1"/>
    <xf numFmtId="165" fontId="7" fillId="0" borderId="0" xfId="1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2" fillId="0" borderId="3" xfId="0" applyFont="1" applyBorder="1"/>
    <xf numFmtId="9" fontId="2" fillId="0" borderId="0" xfId="0" applyNumberFormat="1" applyFont="1" applyBorder="1"/>
    <xf numFmtId="0" fontId="2" fillId="0" borderId="0" xfId="0" applyFont="1" applyBorder="1"/>
    <xf numFmtId="17" fontId="11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indent="1"/>
    </xf>
    <xf numFmtId="165" fontId="2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8" fillId="0" borderId="0" xfId="0" applyNumberFormat="1" applyFont="1" applyAlignment="1">
      <alignment vertical="center"/>
    </xf>
    <xf numFmtId="0" fontId="13" fillId="0" borderId="0" xfId="0" applyFont="1"/>
    <xf numFmtId="9" fontId="2" fillId="0" borderId="0" xfId="2" applyFont="1" applyAlignment="1">
      <alignment horizontal="center" vertical="center"/>
    </xf>
    <xf numFmtId="0" fontId="14" fillId="0" borderId="0" xfId="0" applyFont="1"/>
    <xf numFmtId="165" fontId="16" fillId="0" borderId="0" xfId="1" applyNumberFormat="1" applyFont="1" applyAlignment="1">
      <alignment vertical="center"/>
    </xf>
    <xf numFmtId="0" fontId="18" fillId="0" borderId="0" xfId="0" applyFont="1"/>
    <xf numFmtId="165" fontId="19" fillId="0" borderId="0" xfId="1" applyNumberFormat="1" applyFont="1"/>
    <xf numFmtId="0" fontId="17" fillId="0" borderId="0" xfId="0" applyFont="1"/>
    <xf numFmtId="0" fontId="21" fillId="0" borderId="0" xfId="0" applyFont="1"/>
    <xf numFmtId="0" fontId="20" fillId="0" borderId="0" xfId="0" applyFont="1" applyAlignment="1">
      <alignment horizontal="left" vertical="center"/>
    </xf>
    <xf numFmtId="168" fontId="22" fillId="4" borderId="12" xfId="0" applyNumberFormat="1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left" vertical="center" indent="1"/>
    </xf>
    <xf numFmtId="0" fontId="26" fillId="0" borderId="0" xfId="0" applyFont="1" applyAlignment="1">
      <alignment horizontal="center"/>
    </xf>
    <xf numFmtId="0" fontId="28" fillId="0" borderId="0" xfId="0" applyFont="1"/>
    <xf numFmtId="0" fontId="26" fillId="0" borderId="0" xfId="0" applyFont="1"/>
    <xf numFmtId="17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29" fillId="0" borderId="0" xfId="0" applyFont="1"/>
    <xf numFmtId="17" fontId="30" fillId="7" borderId="0" xfId="0" applyNumberFormat="1" applyFont="1" applyFill="1" applyBorder="1" applyAlignment="1">
      <alignment horizontal="left" vertical="center" wrapText="1" indent="1"/>
    </xf>
    <xf numFmtId="0" fontId="30" fillId="7" borderId="19" xfId="0" applyNumberFormat="1" applyFont="1" applyFill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 applyFill="1" applyAlignment="1">
      <alignment horizontal="left" indent="1"/>
    </xf>
    <xf numFmtId="165" fontId="26" fillId="0" borderId="0" xfId="1" applyNumberFormat="1" applyFont="1" applyFill="1"/>
    <xf numFmtId="165" fontId="25" fillId="0" borderId="0" xfId="1" applyNumberFormat="1" applyFont="1" applyFill="1"/>
    <xf numFmtId="0" fontId="32" fillId="0" borderId="0" xfId="0" applyFont="1" applyFill="1" applyBorder="1" applyAlignment="1">
      <alignment horizontal="left" indent="1"/>
    </xf>
    <xf numFmtId="165" fontId="26" fillId="0" borderId="0" xfId="1" applyNumberFormat="1" applyFont="1" applyFill="1" applyBorder="1"/>
    <xf numFmtId="165" fontId="33" fillId="0" borderId="0" xfId="1" applyNumberFormat="1" applyFont="1"/>
    <xf numFmtId="165" fontId="24" fillId="0" borderId="0" xfId="1" applyNumberFormat="1" applyFont="1"/>
    <xf numFmtId="0" fontId="5" fillId="0" borderId="0" xfId="0" applyFont="1" applyAlignment="1">
      <alignment vertical="center"/>
    </xf>
    <xf numFmtId="9" fontId="2" fillId="0" borderId="0" xfId="2" applyFont="1"/>
    <xf numFmtId="166" fontId="34" fillId="0" borderId="0" xfId="0" applyNumberFormat="1" applyFont="1" applyFill="1" applyBorder="1" applyAlignment="1">
      <alignment horizontal="center" vertical="center"/>
    </xf>
    <xf numFmtId="9" fontId="18" fillId="0" borderId="0" xfId="2" applyFont="1"/>
    <xf numFmtId="17" fontId="36" fillId="2" borderId="1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indent="1"/>
    </xf>
    <xf numFmtId="0" fontId="39" fillId="0" borderId="0" xfId="0" applyFont="1"/>
    <xf numFmtId="0" fontId="37" fillId="0" borderId="0" xfId="0" applyFont="1" applyAlignment="1">
      <alignment horizontal="left" vertical="center" indent="1"/>
    </xf>
    <xf numFmtId="0" fontId="40" fillId="0" borderId="0" xfId="0" applyFont="1"/>
    <xf numFmtId="168" fontId="38" fillId="4" borderId="12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6" borderId="15" xfId="2" applyNumberFormat="1" applyFont="1" applyFill="1" applyBorder="1" applyAlignment="1">
      <alignment horizontal="center" vertical="center"/>
    </xf>
    <xf numFmtId="166" fontId="38" fillId="4" borderId="9" xfId="0" applyNumberFormat="1" applyFont="1" applyFill="1" applyBorder="1" applyAlignment="1">
      <alignment horizontal="center" vertical="center"/>
    </xf>
    <xf numFmtId="9" fontId="38" fillId="4" borderId="13" xfId="0" applyNumberFormat="1" applyFont="1" applyFill="1" applyBorder="1" applyAlignment="1">
      <alignment horizontal="center" vertical="center"/>
    </xf>
    <xf numFmtId="9" fontId="38" fillId="4" borderId="16" xfId="0" applyNumberFormat="1" applyFont="1" applyFill="1" applyBorder="1" applyAlignment="1">
      <alignment horizontal="center" vertical="center"/>
    </xf>
    <xf numFmtId="9" fontId="38" fillId="4" borderId="17" xfId="0" applyNumberFormat="1" applyFont="1" applyFill="1" applyBorder="1" applyAlignment="1">
      <alignment horizontal="center" vertical="center"/>
    </xf>
    <xf numFmtId="9" fontId="38" fillId="4" borderId="14" xfId="0" applyNumberFormat="1" applyFont="1" applyFill="1" applyBorder="1" applyAlignment="1">
      <alignment horizontal="center" vertical="center"/>
    </xf>
    <xf numFmtId="9" fontId="38" fillId="4" borderId="18" xfId="0" applyNumberFormat="1" applyFont="1" applyFill="1" applyBorder="1" applyAlignment="1">
      <alignment horizontal="center" vertical="center"/>
    </xf>
    <xf numFmtId="167" fontId="37" fillId="0" borderId="0" xfId="0" applyNumberFormat="1" applyFont="1" applyBorder="1" applyAlignment="1">
      <alignment horizontal="center" vertical="center"/>
    </xf>
    <xf numFmtId="167" fontId="37" fillId="0" borderId="10" xfId="0" applyNumberFormat="1" applyFont="1" applyBorder="1" applyAlignment="1">
      <alignment horizontal="center" vertical="center"/>
    </xf>
    <xf numFmtId="0" fontId="41" fillId="0" borderId="0" xfId="0" applyFont="1"/>
    <xf numFmtId="0" fontId="23" fillId="5" borderId="7" xfId="1" applyNumberFormat="1" applyFont="1" applyFill="1" applyBorder="1" applyAlignment="1">
      <alignment horizontal="center" vertical="center"/>
    </xf>
    <xf numFmtId="0" fontId="42" fillId="5" borderId="4" xfId="0" applyFont="1" applyFill="1" applyBorder="1" applyAlignment="1">
      <alignment horizontal="left" vertical="center" indent="1"/>
    </xf>
    <xf numFmtId="0" fontId="10" fillId="6" borderId="0" xfId="0" applyFont="1" applyFill="1" applyAlignment="1">
      <alignment horizontal="left" vertical="center" indent="1"/>
    </xf>
    <xf numFmtId="167" fontId="7" fillId="6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vertical="center"/>
    </xf>
    <xf numFmtId="0" fontId="6" fillId="6" borderId="0" xfId="0" applyFont="1" applyFill="1" applyAlignment="1">
      <alignment horizontal="left" vertical="center" indent="1"/>
    </xf>
    <xf numFmtId="0" fontId="7" fillId="6" borderId="0" xfId="0" applyFont="1" applyFill="1"/>
    <xf numFmtId="165" fontId="7" fillId="6" borderId="0" xfId="1" applyNumberFormat="1" applyFont="1" applyFill="1" applyAlignment="1">
      <alignment vertical="center"/>
    </xf>
    <xf numFmtId="165" fontId="7" fillId="6" borderId="0" xfId="0" applyNumberFormat="1" applyFont="1" applyFill="1" applyAlignment="1">
      <alignment vertical="center"/>
    </xf>
    <xf numFmtId="0" fontId="43" fillId="0" borderId="0" xfId="0" applyFont="1" applyAlignment="1">
      <alignment horizontal="left" vertical="center" indent="1"/>
    </xf>
    <xf numFmtId="0" fontId="44" fillId="0" borderId="0" xfId="0" applyFont="1"/>
    <xf numFmtId="0" fontId="44" fillId="0" borderId="0" xfId="0" applyFont="1" applyAlignment="1">
      <alignment horizontal="center" vertical="center"/>
    </xf>
    <xf numFmtId="0" fontId="46" fillId="0" borderId="0" xfId="0" applyFont="1"/>
    <xf numFmtId="165" fontId="46" fillId="0" borderId="0" xfId="1" applyNumberFormat="1" applyFont="1" applyAlignment="1">
      <alignment vertical="center"/>
    </xf>
    <xf numFmtId="165" fontId="46" fillId="0" borderId="0" xfId="0" applyNumberFormat="1" applyFont="1" applyAlignment="1">
      <alignment vertical="center"/>
    </xf>
    <xf numFmtId="0" fontId="44" fillId="0" borderId="11" xfId="0" applyFont="1" applyBorder="1"/>
    <xf numFmtId="0" fontId="46" fillId="0" borderId="11" xfId="0" applyFont="1" applyBorder="1"/>
    <xf numFmtId="170" fontId="46" fillId="0" borderId="11" xfId="1" applyNumberFormat="1" applyFont="1" applyBorder="1" applyAlignment="1">
      <alignment vertical="center"/>
    </xf>
    <xf numFmtId="165" fontId="46" fillId="0" borderId="11" xfId="0" applyNumberFormat="1" applyFont="1" applyBorder="1" applyAlignment="1">
      <alignment vertical="center"/>
    </xf>
    <xf numFmtId="165" fontId="46" fillId="0" borderId="0" xfId="1" applyNumberFormat="1" applyFont="1" applyAlignment="1">
      <alignment horizontal="center" vertical="center"/>
    </xf>
    <xf numFmtId="165" fontId="46" fillId="0" borderId="0" xfId="1" applyNumberFormat="1" applyFont="1"/>
    <xf numFmtId="165" fontId="46" fillId="0" borderId="0" xfId="1" applyNumberFormat="1" applyFont="1" applyBorder="1"/>
    <xf numFmtId="165" fontId="46" fillId="0" borderId="0" xfId="1" applyNumberFormat="1" applyFont="1" applyBorder="1" applyAlignment="1">
      <alignment vertical="center"/>
    </xf>
    <xf numFmtId="165" fontId="46" fillId="0" borderId="0" xfId="0" applyNumberFormat="1" applyFont="1" applyBorder="1" applyAlignment="1">
      <alignment vertical="center"/>
    </xf>
    <xf numFmtId="165" fontId="46" fillId="0" borderId="11" xfId="1" applyNumberFormat="1" applyFont="1" applyBorder="1"/>
    <xf numFmtId="165" fontId="46" fillId="0" borderId="11" xfId="1" applyNumberFormat="1" applyFont="1" applyBorder="1" applyAlignment="1">
      <alignment vertical="center"/>
    </xf>
    <xf numFmtId="167" fontId="46" fillId="0" borderId="0" xfId="0" applyNumberFormat="1" applyFont="1" applyBorder="1" applyAlignment="1">
      <alignment horizontal="center" vertical="center"/>
    </xf>
    <xf numFmtId="0" fontId="47" fillId="0" borderId="0" xfId="0" applyFont="1"/>
    <xf numFmtId="0" fontId="46" fillId="0" borderId="0" xfId="0" applyFont="1" applyAlignment="1">
      <alignment horizontal="left" vertical="center" indent="1"/>
    </xf>
    <xf numFmtId="166" fontId="48" fillId="0" borderId="0" xfId="0" applyNumberFormat="1" applyFont="1" applyFill="1" applyBorder="1" applyAlignment="1">
      <alignment horizontal="center" vertical="center"/>
    </xf>
    <xf numFmtId="0" fontId="49" fillId="0" borderId="0" xfId="0" applyFont="1"/>
    <xf numFmtId="0" fontId="49" fillId="0" borderId="0" xfId="0" applyFont="1" applyAlignment="1">
      <alignment horizontal="center" vertical="center"/>
    </xf>
    <xf numFmtId="0" fontId="49" fillId="0" borderId="0" xfId="0" applyFont="1" applyFill="1" applyBorder="1"/>
    <xf numFmtId="0" fontId="46" fillId="0" borderId="0" xfId="0" applyFont="1" applyFill="1" applyBorder="1" applyAlignment="1">
      <alignment horizontal="right" vertical="center" indent="1"/>
    </xf>
    <xf numFmtId="0" fontId="46" fillId="0" borderId="0" xfId="0" applyFont="1" applyFill="1" applyBorder="1"/>
    <xf numFmtId="0" fontId="46" fillId="0" borderId="0" xfId="0" applyFont="1" applyFill="1" applyBorder="1" applyAlignment="1">
      <alignment horizontal="left" vertical="center" indent="1"/>
    </xf>
    <xf numFmtId="168" fontId="48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indent="1"/>
    </xf>
    <xf numFmtId="0" fontId="48" fillId="0" borderId="0" xfId="0" applyFont="1" applyFill="1" applyBorder="1" applyAlignment="1">
      <alignment horizontal="left" indent="1"/>
    </xf>
    <xf numFmtId="0" fontId="47" fillId="0" borderId="0" xfId="0" applyFont="1" applyFill="1"/>
    <xf numFmtId="0" fontId="15" fillId="0" borderId="0" xfId="0" applyFont="1"/>
    <xf numFmtId="169" fontId="46" fillId="0" borderId="0" xfId="1" applyNumberFormat="1" applyFont="1" applyAlignment="1">
      <alignment horizontal="center" vertical="center"/>
    </xf>
    <xf numFmtId="169" fontId="46" fillId="0" borderId="0" xfId="1" applyNumberFormat="1" applyFont="1" applyFill="1" applyBorder="1" applyAlignment="1">
      <alignment horizontal="center" vertical="center"/>
    </xf>
    <xf numFmtId="169" fontId="15" fillId="0" borderId="0" xfId="1" applyNumberFormat="1" applyFont="1" applyAlignment="1">
      <alignment horizontal="center" vertical="center"/>
    </xf>
    <xf numFmtId="0" fontId="46" fillId="0" borderId="11" xfId="0" applyFont="1" applyBorder="1" applyAlignment="1">
      <alignment horizontal="left" vertical="center" indent="1"/>
    </xf>
    <xf numFmtId="0" fontId="46" fillId="0" borderId="0" xfId="0" applyFont="1" applyBorder="1" applyAlignment="1">
      <alignment horizontal="left" vertical="center" indent="1"/>
    </xf>
    <xf numFmtId="169" fontId="45" fillId="0" borderId="0" xfId="1" applyNumberFormat="1" applyFont="1" applyFill="1" applyBorder="1" applyAlignment="1">
      <alignment horizontal="center"/>
    </xf>
    <xf numFmtId="165" fontId="46" fillId="0" borderId="0" xfId="1" applyNumberFormat="1" applyFont="1" applyBorder="1" applyAlignment="1">
      <alignment horizontal="left" vertical="center" indent="1"/>
    </xf>
    <xf numFmtId="165" fontId="46" fillId="0" borderId="11" xfId="1" applyNumberFormat="1" applyFont="1" applyBorder="1" applyAlignment="1">
      <alignment horizontal="left" vertical="center" indent="1"/>
    </xf>
    <xf numFmtId="17" fontId="50" fillId="2" borderId="1" xfId="0" applyNumberFormat="1" applyFont="1" applyFill="1" applyBorder="1" applyAlignment="1">
      <alignment horizontal="left" vertical="center" wrapText="1" indent="1"/>
    </xf>
    <xf numFmtId="0" fontId="37" fillId="0" borderId="11" xfId="0" applyFont="1" applyBorder="1" applyAlignment="1">
      <alignment horizontal="left" vertical="center" indent="1"/>
    </xf>
    <xf numFmtId="165" fontId="37" fillId="0" borderId="0" xfId="1" applyNumberFormat="1" applyFont="1" applyBorder="1" applyAlignment="1">
      <alignment horizontal="left" vertical="center" indent="1"/>
    </xf>
    <xf numFmtId="165" fontId="37" fillId="0" borderId="10" xfId="1" applyNumberFormat="1" applyFont="1" applyBorder="1" applyAlignment="1">
      <alignment horizontal="left" vertical="center" indent="1"/>
    </xf>
    <xf numFmtId="167" fontId="37" fillId="0" borderId="11" xfId="0" applyNumberFormat="1" applyFont="1" applyBorder="1" applyAlignment="1">
      <alignment horizontal="center" vertical="center"/>
    </xf>
    <xf numFmtId="165" fontId="51" fillId="0" borderId="0" xfId="0" applyNumberFormat="1" applyFont="1" applyAlignment="1">
      <alignment horizontal="center" vertical="center"/>
    </xf>
    <xf numFmtId="165" fontId="51" fillId="0" borderId="0" xfId="0" applyNumberFormat="1" applyFont="1" applyBorder="1" applyAlignment="1">
      <alignment vertical="center"/>
    </xf>
    <xf numFmtId="0" fontId="26" fillId="0" borderId="0" xfId="0" applyFont="1" applyFill="1" applyBorder="1"/>
    <xf numFmtId="0" fontId="23" fillId="5" borderId="7" xfId="1" applyNumberFormat="1" applyFont="1" applyFill="1" applyBorder="1" applyAlignment="1">
      <alignment horizontal="center" vertical="center"/>
    </xf>
    <xf numFmtId="9" fontId="37" fillId="0" borderId="11" xfId="2" applyFont="1" applyBorder="1" applyAlignment="1">
      <alignment horizontal="center" vertical="center"/>
    </xf>
    <xf numFmtId="3" fontId="37" fillId="0" borderId="0" xfId="1" applyNumberFormat="1" applyFont="1" applyBorder="1" applyAlignment="1">
      <alignment horizontal="center" vertical="center"/>
    </xf>
    <xf numFmtId="3" fontId="37" fillId="0" borderId="11" xfId="1" applyNumberFormat="1" applyFont="1" applyBorder="1" applyAlignment="1">
      <alignment horizontal="center" vertical="center"/>
    </xf>
    <xf numFmtId="0" fontId="38" fillId="4" borderId="20" xfId="1" applyNumberFormat="1" applyFont="1" applyFill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/>
    </xf>
    <xf numFmtId="0" fontId="52" fillId="0" borderId="0" xfId="0" applyFont="1"/>
    <xf numFmtId="0" fontId="28" fillId="0" borderId="0" xfId="0" applyFont="1" applyAlignment="1">
      <alignment horizontal="left" vertical="center" indent="1"/>
    </xf>
    <xf numFmtId="0" fontId="28" fillId="0" borderId="11" xfId="0" applyFont="1" applyBorder="1" applyAlignment="1">
      <alignment horizontal="left" vertical="center" indent="1"/>
    </xf>
    <xf numFmtId="3" fontId="28" fillId="0" borderId="0" xfId="1" applyNumberFormat="1" applyFont="1" applyBorder="1" applyAlignment="1">
      <alignment horizontal="center" vertical="center"/>
    </xf>
    <xf numFmtId="3" fontId="28" fillId="0" borderId="11" xfId="1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9" fontId="28" fillId="0" borderId="11" xfId="2" applyFont="1" applyBorder="1" applyAlignment="1">
      <alignment horizontal="center" vertical="center"/>
    </xf>
    <xf numFmtId="165" fontId="53" fillId="0" borderId="0" xfId="1" applyNumberFormat="1" applyFont="1"/>
    <xf numFmtId="9" fontId="39" fillId="0" borderId="0" xfId="2" applyFont="1" applyAlignment="1">
      <alignment horizontal="center" vertical="center"/>
    </xf>
    <xf numFmtId="168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right" vertical="center" indent="1"/>
    </xf>
    <xf numFmtId="0" fontId="55" fillId="0" borderId="0" xfId="0" applyFont="1" applyFill="1" applyBorder="1" applyAlignment="1">
      <alignment horizontal="left" vertical="center" indent="1"/>
    </xf>
    <xf numFmtId="9" fontId="37" fillId="0" borderId="11" xfId="2" applyFont="1" applyBorder="1" applyAlignment="1">
      <alignment horizontal="center" vertical="center"/>
    </xf>
    <xf numFmtId="3" fontId="37" fillId="0" borderId="0" xfId="1" applyNumberFormat="1" applyFont="1" applyBorder="1" applyAlignment="1">
      <alignment horizontal="center" vertical="center"/>
    </xf>
    <xf numFmtId="3" fontId="37" fillId="0" borderId="11" xfId="1" applyNumberFormat="1" applyFont="1" applyBorder="1" applyAlignment="1">
      <alignment horizontal="center" vertical="center"/>
    </xf>
    <xf numFmtId="0" fontId="23" fillId="5" borderId="7" xfId="1" applyNumberFormat="1" applyFont="1" applyFill="1" applyBorder="1" applyAlignment="1">
      <alignment horizontal="center" vertical="center"/>
    </xf>
    <xf numFmtId="0" fontId="23" fillId="5" borderId="8" xfId="1" applyNumberFormat="1" applyFont="1" applyFill="1" applyBorder="1" applyAlignment="1">
      <alignment horizontal="center" vertical="center"/>
    </xf>
    <xf numFmtId="0" fontId="38" fillId="4" borderId="20" xfId="1" applyNumberFormat="1" applyFont="1" applyFill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/>
    </xf>
    <xf numFmtId="3" fontId="37" fillId="0" borderId="0" xfId="1" applyNumberFormat="1" applyFont="1" applyAlignment="1">
      <alignment horizontal="center" vertical="center"/>
    </xf>
    <xf numFmtId="9" fontId="37" fillId="0" borderId="11" xfId="2" applyNumberFormat="1" applyFont="1" applyBorder="1" applyAlignment="1">
      <alignment horizontal="center" vertical="center"/>
    </xf>
    <xf numFmtId="0" fontId="25" fillId="0" borderId="5" xfId="0" applyFont="1" applyBorder="1" applyAlignment="1">
      <alignment horizontal="left" vertical="center" indent="1"/>
    </xf>
    <xf numFmtId="164" fontId="26" fillId="0" borderId="0" xfId="1" applyFont="1" applyFill="1"/>
    <xf numFmtId="171" fontId="2" fillId="0" borderId="0" xfId="0" applyNumberFormat="1" applyFont="1"/>
    <xf numFmtId="166" fontId="38" fillId="4" borderId="21" xfId="0" applyNumberFormat="1" applyFont="1" applyFill="1" applyBorder="1" applyAlignment="1">
      <alignment horizontal="center" vertical="center"/>
    </xf>
    <xf numFmtId="166" fontId="38" fillId="0" borderId="22" xfId="0" applyNumberFormat="1" applyFont="1" applyFill="1" applyBorder="1" applyAlignment="1">
      <alignment horizontal="center" vertical="center"/>
    </xf>
    <xf numFmtId="168" fontId="38" fillId="0" borderId="22" xfId="0" applyNumberFormat="1" applyFont="1" applyFill="1" applyBorder="1" applyAlignment="1">
      <alignment horizontal="center" vertical="center"/>
    </xf>
    <xf numFmtId="168" fontId="38" fillId="0" borderId="22" xfId="0" applyNumberFormat="1" applyFont="1" applyFill="1" applyBorder="1" applyAlignment="1">
      <alignment horizontal="center" vertical="center"/>
    </xf>
    <xf numFmtId="167" fontId="37" fillId="0" borderId="22" xfId="0" applyNumberFormat="1" applyFont="1" applyBorder="1" applyAlignment="1">
      <alignment horizontal="center" vertical="center"/>
    </xf>
    <xf numFmtId="167" fontId="37" fillId="0" borderId="23" xfId="0" applyNumberFormat="1" applyFont="1" applyBorder="1" applyAlignment="1">
      <alignment horizontal="center" vertical="center"/>
    </xf>
    <xf numFmtId="167" fontId="37" fillId="0" borderId="24" xfId="0" applyNumberFormat="1" applyFont="1" applyBorder="1" applyAlignment="1">
      <alignment horizontal="center" vertical="center"/>
    </xf>
    <xf numFmtId="167" fontId="37" fillId="0" borderId="25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indent="1"/>
    </xf>
    <xf numFmtId="0" fontId="37" fillId="0" borderId="0" xfId="0" applyFont="1" applyFill="1" applyBorder="1" applyAlignment="1">
      <alignment horizontal="left" vertical="center" indent="1"/>
    </xf>
    <xf numFmtId="0" fontId="39" fillId="0" borderId="0" xfId="0" applyFont="1" applyAlignment="1">
      <alignment horizontal="left" indent="1"/>
    </xf>
    <xf numFmtId="0" fontId="35" fillId="0" borderId="0" xfId="0" applyFont="1" applyFill="1" applyBorder="1" applyAlignment="1">
      <alignment horizontal="right" vertical="center"/>
    </xf>
    <xf numFmtId="9" fontId="37" fillId="0" borderId="22" xfId="2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204C82"/>
      <color rgb="FF1C4372"/>
      <color rgb="FFA80000"/>
      <color rgb="FF1A3D68"/>
      <color rgb="FF2353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G32"/>
  <sheetViews>
    <sheetView workbookViewId="0">
      <selection activeCell="E41" sqref="E41"/>
    </sheetView>
  </sheetViews>
  <sheetFormatPr defaultColWidth="8.77734375" defaultRowHeight="14.4" x14ac:dyDescent="0.3"/>
  <cols>
    <col min="1" max="1" width="0.77734375" customWidth="1"/>
    <col min="2" max="2" width="48.6640625" customWidth="1"/>
    <col min="3" max="3" width="16.6640625" customWidth="1"/>
    <col min="4" max="4" width="16.6640625" hidden="1" customWidth="1"/>
    <col min="5" max="5" width="16.6640625" customWidth="1"/>
    <col min="6" max="6" width="16.6640625" hidden="1" customWidth="1"/>
    <col min="7" max="7" width="16.6640625" customWidth="1"/>
  </cols>
  <sheetData>
    <row r="1" spans="2:7" ht="4.2" customHeight="1" x14ac:dyDescent="0.2"/>
    <row r="2" spans="2:7" ht="21.45" customHeight="1" x14ac:dyDescent="0.3">
      <c r="B2" s="72" t="s">
        <v>113</v>
      </c>
      <c r="C2" s="128" t="s">
        <v>112</v>
      </c>
      <c r="D2" s="128"/>
      <c r="E2" s="128" t="s">
        <v>119</v>
      </c>
      <c r="F2" s="128"/>
      <c r="G2" s="128" t="s">
        <v>120</v>
      </c>
    </row>
    <row r="3" spans="2:7" ht="19.2" customHeight="1" x14ac:dyDescent="0.3">
      <c r="B3" s="135" t="s">
        <v>121</v>
      </c>
      <c r="C3" s="137">
        <f>'КАЛЬКУЛЯТОР, САЛОН  ZETTA'!C3:D3</f>
        <v>14</v>
      </c>
      <c r="D3" s="137">
        <f>'КАЛЬКУЛЯТОР, САЛОН  ZETTA'!D3:E3</f>
        <v>0</v>
      </c>
      <c r="E3" s="137">
        <f>'КАЛЬКУЛЯТОР, САЛОН  ZETTA'!E3:F3</f>
        <v>19</v>
      </c>
      <c r="F3" s="137">
        <f>'КАЛЬКУЛЯТОР, САЛОН  ZETTA'!F3:G3</f>
        <v>0</v>
      </c>
      <c r="G3" s="137">
        <f>'КАЛЬКУЛЯТОР, САЛОН  ZETTA'!G3:H3</f>
        <v>24</v>
      </c>
    </row>
    <row r="4" spans="2:7" ht="19.2" customHeight="1" x14ac:dyDescent="0.3">
      <c r="B4" s="135" t="s">
        <v>125</v>
      </c>
      <c r="C4" s="137">
        <f>'КАЛЬКУЛЯТОР, САЛОН  ZETTA'!C4:D4</f>
        <v>3780000</v>
      </c>
      <c r="D4" s="137">
        <f>'КАЛЬКУЛЯТОР, САЛОН  ZETTA'!D4:E4</f>
        <v>0</v>
      </c>
      <c r="E4" s="137">
        <f>'КАЛЬКУЛЯТОР, САЛОН  ZETTA'!E4:F4</f>
        <v>5130000</v>
      </c>
      <c r="F4" s="137">
        <f>'КАЛЬКУЛЯТОР, САЛОН  ZETTA'!F4:G4</f>
        <v>0</v>
      </c>
      <c r="G4" s="137">
        <f>'КАЛЬКУЛЯТОР, САЛОН  ZETTA'!G4:H4</f>
        <v>6480000</v>
      </c>
    </row>
    <row r="5" spans="2:7" ht="19.2" customHeight="1" thickBot="1" x14ac:dyDescent="0.35">
      <c r="B5" s="136" t="s">
        <v>131</v>
      </c>
      <c r="C5" s="138">
        <f>'КАЛЬКУЛЯТОР, САЛОН  ZETTA'!C5:D5</f>
        <v>576237.36842105247</v>
      </c>
      <c r="D5" s="138">
        <f>'КАЛЬКУЛЯТОР, САЛОН  ZETTA'!D5:E5</f>
        <v>0</v>
      </c>
      <c r="E5" s="138">
        <f>'КАЛЬКУЛЯТОР, САЛОН  ZETTA'!E5:F5</f>
        <v>801465</v>
      </c>
      <c r="F5" s="138">
        <f>'КАЛЬКУЛЯТОР, САЛОН  ZETTA'!F5:G5</f>
        <v>0</v>
      </c>
      <c r="G5" s="138">
        <f>'КАЛЬКУЛЯТОР, САЛОН  ZETTA'!G5:H5</f>
        <v>1052192.6315789474</v>
      </c>
    </row>
    <row r="6" spans="2:7" ht="19.2" customHeight="1" thickTop="1" x14ac:dyDescent="0.3">
      <c r="B6" s="135" t="s">
        <v>132</v>
      </c>
      <c r="C6" s="137">
        <f>'КАЛЬКУЛЯТОР, САЛОН  ZETTA'!C6:D6</f>
        <v>0</v>
      </c>
      <c r="D6" s="137">
        <f>'КАЛЬКУЛЯТОР, САЛОН  ZETTA'!D6:E6</f>
        <v>0</v>
      </c>
      <c r="E6" s="137">
        <f>'КАЛЬКУЛЯТОР, САЛОН  ZETTA'!E6:F6</f>
        <v>0</v>
      </c>
      <c r="F6" s="137">
        <f>'КАЛЬКУЛЯТОР, САЛОН  ZETTA'!F6:G6</f>
        <v>0</v>
      </c>
      <c r="G6" s="137">
        <f>'КАЛЬКУЛЯТОР, САЛОН  ZETTA'!G6:H6</f>
        <v>0</v>
      </c>
    </row>
    <row r="7" spans="2:7" ht="19.2" customHeight="1" thickBot="1" x14ac:dyDescent="0.35">
      <c r="B7" s="136" t="s">
        <v>133</v>
      </c>
      <c r="C7" s="138">
        <f>'КАЛЬКУЛЯТОР, САЛОН  ZETTA'!C7:D7</f>
        <v>1183000</v>
      </c>
      <c r="D7" s="138">
        <f>'КАЛЬКУЛЯТОР, САЛОН  ZETTA'!D7:E7</f>
        <v>0</v>
      </c>
      <c r="E7" s="138">
        <f>'КАЛЬКУЛЯТОР, САЛОН  ZETTA'!E7:F7</f>
        <v>1508000</v>
      </c>
      <c r="F7" s="138">
        <f>'КАЛЬКУЛЯТОР, САЛОН  ZETTA'!F7:G7</f>
        <v>0</v>
      </c>
      <c r="G7" s="138">
        <f>'КАЛЬКУЛЯТОР, САЛОН  ZETTA'!G7:H7</f>
        <v>1925000</v>
      </c>
    </row>
    <row r="8" spans="2:7" ht="19.2" customHeight="1" thickTop="1" x14ac:dyDescent="0.3">
      <c r="B8" s="135" t="s">
        <v>106</v>
      </c>
      <c r="C8" s="137">
        <f>'ДДС ZETTA 300'!O9</f>
        <v>300000</v>
      </c>
      <c r="D8" s="137"/>
      <c r="E8" s="137">
        <f>'ДДС ZETTA 450'!O9</f>
        <v>405000</v>
      </c>
      <c r="F8" s="137"/>
      <c r="G8" s="137">
        <f>'ДДС ZETTA 600'!O9</f>
        <v>480000</v>
      </c>
    </row>
    <row r="9" spans="2:7" ht="19.2" customHeight="1" x14ac:dyDescent="0.3">
      <c r="B9" s="135" t="s">
        <v>137</v>
      </c>
      <c r="C9" s="137">
        <v>480000</v>
      </c>
      <c r="D9" s="137"/>
      <c r="E9" s="137">
        <v>570000</v>
      </c>
      <c r="F9" s="137"/>
      <c r="G9" s="137">
        <v>690000</v>
      </c>
    </row>
    <row r="10" spans="2:7" ht="19.2" customHeight="1" thickBot="1" x14ac:dyDescent="0.35">
      <c r="B10" s="136" t="s">
        <v>136</v>
      </c>
      <c r="C10" s="138">
        <v>336000.00000000006</v>
      </c>
      <c r="D10" s="138"/>
      <c r="E10" s="138">
        <v>399000.00000000006</v>
      </c>
      <c r="F10" s="138"/>
      <c r="G10" s="138">
        <v>483000.00000000006</v>
      </c>
    </row>
    <row r="11" spans="2:7" ht="19.2" customHeight="1" thickTop="1" x14ac:dyDescent="0.3">
      <c r="B11" s="139" t="s">
        <v>134</v>
      </c>
      <c r="C11" s="137">
        <f>'КАЛЬКУЛЯТОР, САЛОН  ZETTA'!C10:D10</f>
        <v>11</v>
      </c>
      <c r="D11" s="137">
        <f>'КАЛЬКУЛЯТОР, САЛОН  ZETTA'!D10:E10</f>
        <v>0</v>
      </c>
      <c r="E11" s="137">
        <f>'КАЛЬКУЛЯТОР, САЛОН  ZETTA'!E10:F10</f>
        <v>10</v>
      </c>
      <c r="F11" s="137">
        <f>'КАЛЬКУЛЯТОР, САЛОН  ZETTA'!F10:G10</f>
        <v>0</v>
      </c>
      <c r="G11" s="137">
        <f>'КАЛЬКУЛЯТОР, САЛОН  ZETTA'!G10:H10</f>
        <v>9</v>
      </c>
    </row>
    <row r="12" spans="2:7" ht="19.2" customHeight="1" thickBot="1" x14ac:dyDescent="0.35">
      <c r="B12" s="136" t="s">
        <v>135</v>
      </c>
      <c r="C12" s="140">
        <f>'КАЛЬКУЛЯТОР, САЛОН  ZETTA'!C11:D11</f>
        <v>1.2845715067903827</v>
      </c>
      <c r="D12" s="140">
        <f>'КАЛЬКУЛЯТОР, САЛОН  ZETTA'!D11:E11</f>
        <v>0</v>
      </c>
      <c r="E12" s="140">
        <f>'КАЛЬКУЛЯТОР, САЛОН  ZETTA'!E11:F11</f>
        <v>1.3342924528301887</v>
      </c>
      <c r="F12" s="140">
        <f>'КАЛЬКУЛЯТОР, САЛОН  ZETTA'!F11:G11</f>
        <v>0</v>
      </c>
      <c r="G12" s="140">
        <f>'КАЛЬКУЛЯТОР, САЛОН  ZETTA'!G11:H11</f>
        <v>1.383705378514781</v>
      </c>
    </row>
    <row r="13" spans="2:7" ht="16.05" thickTop="1" x14ac:dyDescent="0.2"/>
    <row r="16" spans="2:7" ht="15" hidden="1" x14ac:dyDescent="0.2">
      <c r="B16" s="72" t="s">
        <v>113</v>
      </c>
      <c r="C16" s="149" t="s">
        <v>112</v>
      </c>
      <c r="D16" s="150"/>
      <c r="E16" s="149" t="s">
        <v>119</v>
      </c>
      <c r="F16" s="150"/>
      <c r="G16" s="128" t="s">
        <v>120</v>
      </c>
    </row>
    <row r="17" spans="2:7" ht="16.05" hidden="1" thickBot="1" x14ac:dyDescent="0.25">
      <c r="B17" s="55" t="s">
        <v>94</v>
      </c>
      <c r="C17" s="151">
        <v>16</v>
      </c>
      <c r="D17" s="151"/>
      <c r="E17" s="151">
        <v>19</v>
      </c>
      <c r="F17" s="151"/>
      <c r="G17" s="132">
        <v>23</v>
      </c>
    </row>
    <row r="18" spans="2:7" ht="15" hidden="1" x14ac:dyDescent="0.2">
      <c r="B18" s="57" t="s">
        <v>128</v>
      </c>
      <c r="C18" s="147">
        <v>4800000</v>
      </c>
      <c r="D18" s="147"/>
      <c r="E18" s="152">
        <v>5700000</v>
      </c>
      <c r="F18" s="152"/>
      <c r="G18" s="133">
        <v>6900000</v>
      </c>
    </row>
    <row r="19" spans="2:7" ht="16.05" hidden="1" thickBot="1" x14ac:dyDescent="0.25">
      <c r="B19" s="121" t="s">
        <v>129</v>
      </c>
      <c r="C19" s="148">
        <v>816399.99999999988</v>
      </c>
      <c r="D19" s="148"/>
      <c r="E19" s="148">
        <v>916349.99999999988</v>
      </c>
      <c r="F19" s="148"/>
      <c r="G19" s="131">
        <v>1120450</v>
      </c>
    </row>
    <row r="20" spans="2:7" ht="16.05" hidden="1" thickTop="1" x14ac:dyDescent="0.2">
      <c r="B20" s="57" t="s">
        <v>130</v>
      </c>
      <c r="C20" s="147">
        <v>3500000</v>
      </c>
      <c r="D20" s="147"/>
      <c r="E20" s="147">
        <v>5000000</v>
      </c>
      <c r="F20" s="147"/>
      <c r="G20" s="130">
        <v>6250000</v>
      </c>
    </row>
    <row r="21" spans="2:7" ht="16.05" hidden="1" thickBot="1" x14ac:dyDescent="0.25">
      <c r="B21" s="121" t="s">
        <v>68</v>
      </c>
      <c r="C21" s="148">
        <v>1000000</v>
      </c>
      <c r="D21" s="148"/>
      <c r="E21" s="148">
        <v>1500000</v>
      </c>
      <c r="F21" s="148"/>
      <c r="G21" s="131">
        <v>2000000</v>
      </c>
    </row>
    <row r="22" spans="2:7" ht="16.05" hidden="1" thickTop="1" x14ac:dyDescent="0.2"/>
    <row r="23" spans="2:7" ht="15" hidden="1" x14ac:dyDescent="0.2"/>
    <row r="24" spans="2:7" ht="15" hidden="1" x14ac:dyDescent="0.2">
      <c r="B24" s="55" t="s">
        <v>126</v>
      </c>
      <c r="C24" s="147">
        <v>10</v>
      </c>
      <c r="D24" s="147"/>
      <c r="E24" s="147">
        <v>11</v>
      </c>
      <c r="F24" s="147"/>
      <c r="G24" s="130">
        <v>12</v>
      </c>
    </row>
    <row r="25" spans="2:7" ht="16.05" hidden="1" thickBot="1" x14ac:dyDescent="0.25">
      <c r="B25" s="121" t="s">
        <v>127</v>
      </c>
      <c r="C25" s="146">
        <v>2.1770666666666667</v>
      </c>
      <c r="D25" s="146"/>
      <c r="E25" s="146">
        <v>1.6917230769230769</v>
      </c>
      <c r="F25" s="146"/>
      <c r="G25" s="129">
        <v>1.6297454545454546</v>
      </c>
    </row>
    <row r="26" spans="2:7" ht="16.05" hidden="1" thickTop="1" x14ac:dyDescent="0.2"/>
    <row r="27" spans="2:7" ht="15" hidden="1" x14ac:dyDescent="0.2"/>
    <row r="28" spans="2:7" ht="21.45" hidden="1" customHeight="1" x14ac:dyDescent="0.2">
      <c r="B28" s="135" t="s">
        <v>122</v>
      </c>
      <c r="C28" s="137">
        <f>'КАЛЬКУЛЯТОР, САЛОН  ZETTA'!C8:D8</f>
        <v>378000</v>
      </c>
      <c r="D28" s="137">
        <f>'КАЛЬКУЛЯТОР, САЛОН  ZETTA'!D8:E8</f>
        <v>0</v>
      </c>
      <c r="E28" s="137">
        <f>'КАЛЬКУЛЯТОР, САЛОН  ZETTA'!E8:F8</f>
        <v>513000</v>
      </c>
      <c r="F28" s="137">
        <f>'КАЛЬКУЛЯТОР, САЛОН  ZETTA'!F8:G8</f>
        <v>0</v>
      </c>
      <c r="G28" s="137">
        <f>'КАЛЬКУЛЯТОР, САЛОН  ZETTA'!G8:H8</f>
        <v>648000</v>
      </c>
    </row>
    <row r="29" spans="2:7" ht="21.45" hidden="1" customHeight="1" x14ac:dyDescent="0.2">
      <c r="B29" s="135" t="s">
        <v>123</v>
      </c>
      <c r="C29" s="137">
        <f>'КАЛЬКУЛЯТОР, САЛОН  ZETTA'!C9:D9</f>
        <v>264600</v>
      </c>
      <c r="D29" s="137">
        <f>'КАЛЬКУЛЯТОР, САЛОН  ZETTA'!D9:E9</f>
        <v>0</v>
      </c>
      <c r="E29" s="137">
        <f>'КАЛЬКУЛЯТОР, САЛОН  ZETTA'!E9:F9</f>
        <v>359100.00000000006</v>
      </c>
      <c r="F29" s="137">
        <f>'КАЛЬКУЛЯТОР, САЛОН  ZETTA'!F9:G9</f>
        <v>0</v>
      </c>
      <c r="G29" s="137">
        <f>'КАЛЬКУЛЯТОР, САЛОН  ZETTA'!G9:H9</f>
        <v>453600.00000000006</v>
      </c>
    </row>
    <row r="30" spans="2:7" ht="21.45" hidden="1" customHeight="1" thickBot="1" x14ac:dyDescent="0.25">
      <c r="B30" s="136" t="s">
        <v>124</v>
      </c>
      <c r="C30" s="138">
        <f>'КАЛЬКУЛЯТОР, САЛОН  ZETTA'!J11</f>
        <v>170000</v>
      </c>
      <c r="D30" s="138">
        <f>'КАЛЬКУЛЯТОР, САЛОН  ZETTA'!K11</f>
        <v>210000</v>
      </c>
      <c r="E30" s="138">
        <f>'КАЛЬКУЛЯТОР, САЛОН  ZETTA'!K11</f>
        <v>210000</v>
      </c>
      <c r="F30" s="138" t="str">
        <f>'КАЛЬКУЛЯТОР, САЛОН  ZETTA'!M11</f>
        <v>ЭКСПЛУАТАЦИОННЫЕ РАСХОДЫ, МЕС</v>
      </c>
      <c r="G30" s="138">
        <f>'КАЛЬКУЛЯТОР, САЛОН  ZETTA'!L11</f>
        <v>250000</v>
      </c>
    </row>
    <row r="31" spans="2:7" ht="16.05" hidden="1" thickTop="1" x14ac:dyDescent="0.2"/>
    <row r="32" spans="2:7" ht="15" hidden="1" x14ac:dyDescent="0.2"/>
  </sheetData>
  <protectedRanges>
    <protectedRange sqref="C3:G8" name="Диапазон1_1"/>
  </protectedRanges>
  <mergeCells count="16">
    <mergeCell ref="C16:D16"/>
    <mergeCell ref="E16:F16"/>
    <mergeCell ref="C19:D19"/>
    <mergeCell ref="E19:F19"/>
    <mergeCell ref="C20:D20"/>
    <mergeCell ref="E20:F20"/>
    <mergeCell ref="C17:D17"/>
    <mergeCell ref="E17:F17"/>
    <mergeCell ref="C18:D18"/>
    <mergeCell ref="E18:F18"/>
    <mergeCell ref="C25:D25"/>
    <mergeCell ref="E25:F25"/>
    <mergeCell ref="C24:D24"/>
    <mergeCell ref="E24:F24"/>
    <mergeCell ref="C21:D21"/>
    <mergeCell ref="E21:F21"/>
  </mergeCells>
  <pageMargins left="0.7" right="0.7" top="0.75" bottom="0.75" header="0.3" footer="0.3"/>
  <ignoredErrors>
    <ignoredError sqref="C3:G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workbookViewId="0">
      <selection activeCell="O17" sqref="O17"/>
    </sheetView>
  </sheetViews>
  <sheetFormatPr defaultColWidth="8.77734375" defaultRowHeight="14.4" x14ac:dyDescent="0.3"/>
  <cols>
    <col min="1" max="1" width="0.44140625" style="27" customWidth="1"/>
    <col min="2" max="2" width="43.33203125" style="27" customWidth="1"/>
    <col min="3" max="8" width="11.88671875" style="27" customWidth="1"/>
    <col min="9" max="9" width="11.44140625" style="27" customWidth="1"/>
    <col min="10" max="12" width="11.77734375" style="27" customWidth="1"/>
    <col min="13" max="13" width="11.44140625" style="27" customWidth="1"/>
    <col min="14" max="14" width="10.44140625" style="27" customWidth="1"/>
    <col min="15" max="15" width="9.33203125" style="27" customWidth="1"/>
    <col min="20" max="21" width="10" style="27" customWidth="1"/>
    <col min="22" max="22" width="9.44140625" style="27" customWidth="1"/>
    <col min="23" max="23" width="9.6640625" style="27" bestFit="1" customWidth="1"/>
    <col min="24" max="24" width="8.6640625" style="27" customWidth="1"/>
    <col min="25" max="25" width="15.33203125" style="27" customWidth="1"/>
    <col min="26" max="27" width="10" style="27" customWidth="1"/>
    <col min="28" max="29" width="10" style="27" hidden="1" customWidth="1"/>
    <col min="30" max="62" width="10" style="27" customWidth="1"/>
    <col min="63" max="67" width="11" style="27" customWidth="1"/>
    <col min="68" max="16384" width="8.77734375" style="27"/>
  </cols>
  <sheetData>
    <row r="1" spans="2:29" ht="1.2" customHeight="1" x14ac:dyDescent="0.2"/>
    <row r="2" spans="2:29" s="29" customFormat="1" ht="18" customHeight="1" x14ac:dyDescent="0.3">
      <c r="B2" s="72" t="s">
        <v>113</v>
      </c>
      <c r="C2" s="149" t="s">
        <v>112</v>
      </c>
      <c r="D2" s="150"/>
      <c r="E2" s="149" t="s">
        <v>119</v>
      </c>
      <c r="F2" s="150"/>
      <c r="G2" s="149" t="s">
        <v>120</v>
      </c>
      <c r="H2" s="150"/>
      <c r="I2" s="70"/>
      <c r="J2" s="71" t="s">
        <v>112</v>
      </c>
      <c r="K2" s="71" t="s">
        <v>119</v>
      </c>
      <c r="L2" s="71" t="s">
        <v>120</v>
      </c>
      <c r="M2" s="30"/>
      <c r="O2" s="27"/>
      <c r="AB2" s="32">
        <v>0.85</v>
      </c>
      <c r="AC2" s="31" t="s">
        <v>88</v>
      </c>
    </row>
    <row r="3" spans="2:29" ht="18" customHeight="1" thickBot="1" x14ac:dyDescent="0.35">
      <c r="B3" s="55" t="s">
        <v>144</v>
      </c>
      <c r="C3" s="151">
        <v>14</v>
      </c>
      <c r="D3" s="151"/>
      <c r="E3" s="151">
        <v>19</v>
      </c>
      <c r="F3" s="151"/>
      <c r="G3" s="151">
        <v>24</v>
      </c>
      <c r="H3" s="151"/>
      <c r="I3" s="56"/>
      <c r="J3" s="158">
        <v>14</v>
      </c>
      <c r="K3" s="158">
        <v>19</v>
      </c>
      <c r="L3" s="158">
        <v>24</v>
      </c>
      <c r="M3" s="57" t="s">
        <v>117</v>
      </c>
      <c r="N3" s="56"/>
      <c r="O3" s="56"/>
      <c r="AB3" s="32">
        <v>0.15</v>
      </c>
      <c r="AC3" s="31" t="s">
        <v>89</v>
      </c>
    </row>
    <row r="4" spans="2:29" ht="18" customHeight="1" x14ac:dyDescent="0.3">
      <c r="B4" s="57" t="s">
        <v>101</v>
      </c>
      <c r="C4" s="147">
        <f>C3*$C$14</f>
        <v>3780000</v>
      </c>
      <c r="D4" s="147"/>
      <c r="E4" s="152">
        <f>E3*$C$14</f>
        <v>5130000</v>
      </c>
      <c r="F4" s="152"/>
      <c r="G4" s="152">
        <f>G3*$C$14</f>
        <v>6480000</v>
      </c>
      <c r="H4" s="152"/>
      <c r="I4" s="56"/>
      <c r="J4" s="162">
        <f>J3*$J$5</f>
        <v>4200000</v>
      </c>
      <c r="K4" s="162">
        <f>K3*$J$5</f>
        <v>5700000</v>
      </c>
      <c r="L4" s="162">
        <f>L3*$J$5</f>
        <v>7200000</v>
      </c>
      <c r="M4" s="57" t="s">
        <v>153</v>
      </c>
      <c r="N4" s="56"/>
    </row>
    <row r="5" spans="2:29" ht="18" customHeight="1" thickBot="1" x14ac:dyDescent="0.35">
      <c r="B5" s="121" t="s">
        <v>102</v>
      </c>
      <c r="C5" s="148">
        <f>'ДДС ZETTA 300'!O16</f>
        <v>576237.36842105247</v>
      </c>
      <c r="D5" s="148"/>
      <c r="E5" s="148">
        <f>'ДДС ZETTA 450'!O16</f>
        <v>801465</v>
      </c>
      <c r="F5" s="148"/>
      <c r="G5" s="148">
        <f>'ДДС ZETTA 600'!O16</f>
        <v>1052192.6315789474</v>
      </c>
      <c r="H5" s="148"/>
      <c r="I5" s="56"/>
      <c r="J5" s="163">
        <v>300000</v>
      </c>
      <c r="K5" s="164"/>
      <c r="L5" s="165"/>
      <c r="M5" s="57" t="s">
        <v>148</v>
      </c>
      <c r="AB5" s="32">
        <v>0.9</v>
      </c>
      <c r="AC5" s="31" t="s">
        <v>90</v>
      </c>
    </row>
    <row r="6" spans="2:29" ht="18" customHeight="1" thickTop="1" x14ac:dyDescent="0.3">
      <c r="B6" s="57" t="s">
        <v>155</v>
      </c>
      <c r="C6" s="147">
        <f>J4*$H$14</f>
        <v>0</v>
      </c>
      <c r="D6" s="147"/>
      <c r="E6" s="147">
        <f>K4*$H$14</f>
        <v>0</v>
      </c>
      <c r="F6" s="147"/>
      <c r="G6" s="147">
        <f>L4*$H$14</f>
        <v>0</v>
      </c>
      <c r="H6" s="147"/>
      <c r="I6" s="56"/>
      <c r="M6" s="166"/>
      <c r="AB6" s="32">
        <v>0.2</v>
      </c>
      <c r="AC6" s="31" t="s">
        <v>91</v>
      </c>
    </row>
    <row r="7" spans="2:29" ht="18" customHeight="1" thickBot="1" x14ac:dyDescent="0.35">
      <c r="B7" s="121" t="s">
        <v>145</v>
      </c>
      <c r="C7" s="148">
        <f>J7</f>
        <v>1183000</v>
      </c>
      <c r="D7" s="148"/>
      <c r="E7" s="148">
        <f>K7</f>
        <v>1508000</v>
      </c>
      <c r="F7" s="148"/>
      <c r="G7" s="148">
        <f>L7</f>
        <v>1925000</v>
      </c>
      <c r="H7" s="148"/>
      <c r="I7" s="56"/>
      <c r="J7" s="158">
        <f>'Ремонт и обустр. салона'!D19</f>
        <v>1183000</v>
      </c>
      <c r="K7" s="158">
        <f>'Ремонт и обустр. салона'!E19</f>
        <v>1508000</v>
      </c>
      <c r="L7" s="158">
        <f>'Ремонт и обустр. салона'!F19</f>
        <v>1925000</v>
      </c>
      <c r="M7" s="57" t="s">
        <v>70</v>
      </c>
      <c r="N7" s="56"/>
    </row>
    <row r="8" spans="2:29" ht="18" customHeight="1" thickTop="1" x14ac:dyDescent="0.3">
      <c r="B8" s="57" t="s">
        <v>140</v>
      </c>
      <c r="C8" s="153">
        <f>'ДДС ZETTA 300'!O12</f>
        <v>378000</v>
      </c>
      <c r="D8" s="153"/>
      <c r="E8" s="153">
        <f>'ДДС ZETTA 450'!O12</f>
        <v>513000</v>
      </c>
      <c r="F8" s="153"/>
      <c r="G8" s="153">
        <f>'ДДС ZETTA 600'!O12</f>
        <v>648000</v>
      </c>
      <c r="H8" s="153"/>
      <c r="I8" s="56"/>
      <c r="J8" s="159">
        <v>100000</v>
      </c>
      <c r="K8" s="159">
        <v>100000</v>
      </c>
      <c r="L8" s="159">
        <v>100000</v>
      </c>
      <c r="M8" s="167" t="s">
        <v>146</v>
      </c>
      <c r="N8" s="56"/>
    </row>
    <row r="9" spans="2:29" ht="18" customHeight="1" thickBot="1" x14ac:dyDescent="0.35">
      <c r="B9" s="121" t="s">
        <v>141</v>
      </c>
      <c r="C9" s="148">
        <f>'ДДС ZETTA 300'!O10</f>
        <v>264600</v>
      </c>
      <c r="D9" s="148"/>
      <c r="E9" s="148">
        <f>'ДДС ZETTA 450'!O10</f>
        <v>359100.00000000006</v>
      </c>
      <c r="F9" s="148"/>
      <c r="G9" s="148">
        <f>'ДДС ZETTA 600'!O10</f>
        <v>453600.00000000006</v>
      </c>
      <c r="H9" s="148"/>
      <c r="I9" s="56"/>
      <c r="J9" s="160">
        <v>7.0000000000000007E-2</v>
      </c>
      <c r="K9" s="160">
        <v>7.0000000000000007E-2</v>
      </c>
      <c r="L9" s="160">
        <v>7.0000000000000007E-2</v>
      </c>
      <c r="M9" s="167" t="s">
        <v>147</v>
      </c>
      <c r="N9" s="56"/>
    </row>
    <row r="10" spans="2:29" ht="18" customHeight="1" thickTop="1" x14ac:dyDescent="0.3">
      <c r="B10" s="55" t="s">
        <v>159</v>
      </c>
      <c r="C10" s="147">
        <f>IF(AND('ДДС ZETTA 300'!E17&lt;=(C7+C6),'ДДС ZETTA 300'!F17&gt;(C7+C6)),"&lt;4",IF(AND('ДДС ZETTA 300'!F17&lt;=(C7+C6),'ДДС ZETTA 300'!G17&gt;(C7+C6)),4,IF(AND('ДДС ZETTA 300'!G17&lt;=(C7+C6),'ДДС ZETTA 300'!H17&gt;(C7+C6)),5,IF(AND('ДДС ZETTA 300'!H17&lt;=(C7+C6),'ДДС ZETTA 300'!I17&gt;(C7+C6)),6,IF(AND('ДДС ZETTA 300'!I17&lt;=(C7+C6),'ДДС ZETTA 300'!J17&gt;(C7+C6)),7,IF(AND('ДДС ZETTA 300'!J17&lt;=(C7+C6),'ДДС ZETTA 300'!K17&gt;(C7+C6)),8,IF(AND('ДДС ZETTA 300'!K17&lt;=(C7+C6),'ДДС ZETTA 300'!L17&gt;(C7+C6)),9,IF(AND('ДДС ZETTA 300'!L17&lt;=(C7+C6),'ДДС ZETTA 300'!M17&gt;(C7+C6)),10,IF(AND('ДДС ZETTA 300'!M17&lt;=(C7+C6),'ДДС ZETTA 300'!N17&gt;(C7+C6)),11,IF(AND('ДДС ZETTA 300'!N17&lt;=(C7+C6),'ДДС ZETTA 300'!O17&gt;(C7+C6)),12,IF(AND('ДДС ZETTA 300'!O17&lt;=(C7+C6),'ДДС ZETTA 300'!P17&gt;(C7+C6)),13,IF(AND('ДДС ZETTA 300'!P17&lt;=(C7+C6),'ДДС ZETTA 300'!Q17&gt;(C7+C6)),14,IF(AND('ДДС ZETTA 300'!Q17&lt;=(C7+C6),'ДДС ZETTA 300'!R17&gt;(C7+C6)),15,IF(AND('ДДС ZETTA 300'!R17&lt;=(C7+C6),'ДДС ZETTA 300'!S17&gt;(C7+C6)),16,IF(AND('ДДС ZETTA 300'!S17&lt;=(C7+C6),'ДДС ZETTA 300'!T17&gt;(C7+C6)),17,IF(AND('ДДС ZETTA 300'!T17&lt;=(C7+C6),'ДДС ZETTA 300'!U17&gt;(C7+C6)),18,IF('ДДС ZETTA 300'!P17&lt;(C7+C6),"&gt;18",FALSE)))))))))))))))))</f>
        <v>11</v>
      </c>
      <c r="D10" s="147"/>
      <c r="E10" s="147">
        <f>IF(AND('ДДС ZETTA 450'!E17&lt;=(E7+E6),'ДДС ZETTA 450'!F17&gt;(E7+E6)),"&lt;4",IF(AND('ДДС ZETTA 450'!F17&lt;=(E7+E6),'ДДС ZETTA 450'!G17&gt;(E7+E6)),4,IF(AND('ДДС ZETTA 450'!G17&lt;=(E7+E6),'ДДС ZETTA 450'!H17&gt;(E7+E6)),5,IF(AND('ДДС ZETTA 450'!H17&lt;=(E7+E6),'ДДС ZETTA 450'!I17&gt;(E7+E6)),6,IF(AND('ДДС ZETTA 450'!I17&lt;=(E7+E6),'ДДС ZETTA 450'!J17&gt;(E7+E6)),7,IF(AND('ДДС ZETTA 450'!J17&lt;=(E7+E6),'ДДС ZETTA 450'!K17&gt;(E7+E6)),8,IF(AND('ДДС ZETTA 450'!K17&lt;=(E7+E6),'ДДС ZETTA 450'!L17&gt;(E7+E6)),9,IF(AND('ДДС ZETTA 450'!L17&lt;=(E7+E6),'ДДС ZETTA 450'!M17&gt;(E7+E6)),10,IF(AND('ДДС ZETTA 450'!M17&lt;=(E7+E6),'ДДС ZETTA 450'!N17&gt;(E7+E6)),11,IF(AND('ДДС ZETTA 450'!N17&lt;=(E7+E6),'ДДС ZETTA 450'!O17&gt;(E7+E6)),12,IF(AND('ДДС ZETTA 450'!O17&lt;=(E7+E6),'ДДС ZETTA 450'!P17&gt;(E7+E6)),13,IF(AND('ДДС ZETTA 450'!P17&lt;=(E7+E6),'ДДС ZETTA 450'!Q17&gt;(E7+E6)),14,IF(AND('ДДС ZETTA 450'!Q17&lt;=(E7+E6),'ДДС ZETTA 450'!R17&gt;(E7+E6)),15,IF(AND('ДДС ZETTA 450'!R17&lt;=(E7+E6),'ДДС ZETTA 450'!S17&gt;(E7+E6)),16,IF(AND('ДДС ZETTA 450'!S17&lt;=(E7+E6),'ДДС ZETTA 450'!T17&gt;(E7+E6)),17,IF(AND('ДДС ZETTA 450'!T17&lt;=(E7+E6),'ДДС ZETTA 450'!U17&gt;(E7+E6)),18,IF('ДДС ZETTA 450'!P17&lt;(E7+E6),"&gt;18",FALSE)))))))))))))))))</f>
        <v>10</v>
      </c>
      <c r="F10" s="147"/>
      <c r="G10" s="147">
        <f>IF(AND('ДДС ZETTA 600'!E17&lt;=(G7+G6),'ДДС ZETTA 600'!F17&gt;(G7+G6)),"&lt;4",IF(AND('ДДС ZETTA 600'!F17&lt;=(G7+G6),'ДДС ZETTA 600'!G17&gt;(G7+G6)),4,IF(AND('ДДС ZETTA 600'!G17&lt;=(G7+G6),'ДДС ZETTA 600'!H17&gt;(G7+G6)),5,IF(AND('ДДС ZETTA 600'!H17&lt;=(G7+G6),'ДДС ZETTA 600'!I17&gt;(G7+G6)),6,IF(AND('ДДС ZETTA 600'!I17&lt;=(G7+G6),'ДДС ZETTA 600'!J17&gt;(G7+G6)),7,IF(AND('ДДС ZETTA 600'!J17&lt;=(G7+G6),'ДДС ZETTA 600'!K17&gt;(G7+G6)),8,IF(AND('ДДС ZETTA 600'!K17&lt;=(G7+G6),'ДДС ZETTA 600'!L17&gt;(G7+G6)),9,IF(AND('ДДС ZETTA 600'!L17&lt;=(G7+G6),'ДДС ZETTA 600'!M17&gt;(G7+G6)),10,IF(AND('ДДС ZETTA 600'!M17&lt;=(G7+G6),'ДДС ZETTA 600'!N17&gt;(G7+G6)),11,IF(AND('ДДС ZETTA 600'!N17&lt;=(G7+G6),'ДДС ZETTA 600'!O17&gt;(G7+G6)),12,IF(AND('ДДС ZETTA 600'!O17&lt;(G7+G6),'ДДС ZETTA 600'!P17&gt;(G7+G6)),13,IF(AND('ДДС ZETTA 600'!P17&lt;(G7+G6),'ДДС ZETTA 600'!Q17&gt;(G7+G6)),14,IF(AND('ДДС ZETTA 600'!Q17&lt;(G7+G6),'ДДС ZETTA 600'!R17&gt;(G7+G6)),15,IF(AND('ДДС ZETTA 600'!R17&lt;(G7+G6),'ДДС ZETTA 600'!S17&gt;(G7+G6)),16,IF(AND('ДДС ZETTA 600'!S17&lt;=(G7+G6),'ДДС ZETTA 600'!T17&gt;(G7+G6)),17,IF(AND('ДДС ZETTA 600'!T17&lt;=(G7+G6),'ДДС ZETTA 600'!U17&gt;(G7+G6)),18,IF('ДДС ZETTA 600'!P17&lt;(G7+G6),"&gt;18",FALSE)))))))))))))))))</f>
        <v>9</v>
      </c>
      <c r="H10" s="147"/>
      <c r="I10" s="56"/>
      <c r="J10" s="56"/>
      <c r="K10" s="56"/>
      <c r="L10" s="56"/>
      <c r="M10" s="168"/>
      <c r="N10" s="56"/>
    </row>
    <row r="11" spans="2:29" ht="18" customHeight="1" thickBot="1" x14ac:dyDescent="0.35">
      <c r="B11" s="121" t="s">
        <v>158</v>
      </c>
      <c r="C11" s="154">
        <f>('ДДС ZETTA 300'!AA17-'ДДС ZETTA 300'!O17)/(J4+C7)</f>
        <v>1.2845715067903827</v>
      </c>
      <c r="D11" s="154"/>
      <c r="E11" s="154">
        <f>('ДДС ZETTA 450'!AA17-'ДДС ZETTA 450'!O17)/(K4+E7)</f>
        <v>1.3342924528301887</v>
      </c>
      <c r="F11" s="154"/>
      <c r="G11" s="146">
        <f>('ДДС ZETTA 600'!AA17-'ДДС ZETTA 600'!O17)/(L4+G7)</f>
        <v>1.383705378514781</v>
      </c>
      <c r="H11" s="146"/>
      <c r="I11" s="56"/>
      <c r="J11" s="158">
        <v>170000</v>
      </c>
      <c r="K11" s="158">
        <v>210000</v>
      </c>
      <c r="L11" s="158">
        <v>250000</v>
      </c>
      <c r="M11" s="57" t="s">
        <v>97</v>
      </c>
      <c r="N11" s="56"/>
    </row>
    <row r="12" spans="2:29" ht="18" customHeight="1" thickTop="1" x14ac:dyDescent="0.3">
      <c r="B12" s="56"/>
      <c r="C12" s="56"/>
      <c r="D12" s="56"/>
      <c r="F12" s="56"/>
      <c r="G12" s="56"/>
      <c r="H12" s="56"/>
      <c r="I12" s="56"/>
      <c r="J12" s="162">
        <v>300000</v>
      </c>
      <c r="K12" s="162">
        <v>300000</v>
      </c>
      <c r="L12" s="162">
        <v>300000</v>
      </c>
      <c r="M12" s="57" t="s">
        <v>98</v>
      </c>
      <c r="N12" s="56"/>
      <c r="X12" s="48"/>
    </row>
    <row r="13" spans="2:29" ht="18" customHeight="1" thickBot="1" x14ac:dyDescent="0.35">
      <c r="B13" s="55" t="s">
        <v>96</v>
      </c>
      <c r="C13" s="59">
        <v>0.9</v>
      </c>
      <c r="G13" s="169" t="s">
        <v>156</v>
      </c>
      <c r="H13" s="170">
        <v>0.1</v>
      </c>
      <c r="I13" s="58"/>
      <c r="J13" s="161">
        <v>0.1</v>
      </c>
      <c r="K13" s="161"/>
      <c r="L13" s="161"/>
      <c r="M13" s="57" t="s">
        <v>63</v>
      </c>
      <c r="N13" s="56"/>
      <c r="X13" s="49"/>
      <c r="Y13" s="48"/>
    </row>
    <row r="14" spans="2:29" ht="18" customHeight="1" x14ac:dyDescent="0.3">
      <c r="B14" s="55" t="s">
        <v>152</v>
      </c>
      <c r="C14" s="62">
        <v>270000</v>
      </c>
      <c r="D14" s="56"/>
      <c r="E14" s="56"/>
      <c r="F14" s="56"/>
      <c r="G14" s="60" t="s">
        <v>35</v>
      </c>
      <c r="H14" s="59">
        <v>0</v>
      </c>
      <c r="I14" s="56"/>
      <c r="J14" s="56"/>
      <c r="K14" s="56"/>
      <c r="L14" s="56"/>
      <c r="M14" s="168"/>
      <c r="N14" s="56"/>
      <c r="Y14" s="49"/>
    </row>
    <row r="15" spans="2:29" ht="18" customHeight="1" thickBot="1" x14ac:dyDescent="0.35">
      <c r="B15" s="55" t="s">
        <v>143</v>
      </c>
      <c r="C15" s="160">
        <v>0.15</v>
      </c>
      <c r="D15" s="56"/>
      <c r="E15" s="56"/>
      <c r="F15" s="56"/>
      <c r="H15" s="142"/>
      <c r="I15" s="56"/>
      <c r="J15" s="61">
        <v>1000</v>
      </c>
      <c r="K15" s="61">
        <v>900</v>
      </c>
      <c r="L15" s="61">
        <v>800</v>
      </c>
      <c r="M15" s="57" t="s">
        <v>100</v>
      </c>
      <c r="N15" s="56"/>
    </row>
    <row r="16" spans="2:29" ht="18" customHeight="1" x14ac:dyDescent="0.3">
      <c r="B16" s="60"/>
      <c r="C16" s="56"/>
      <c r="D16" s="56"/>
      <c r="E16" s="56"/>
      <c r="F16" s="56"/>
      <c r="G16" s="60"/>
      <c r="H16" s="142"/>
      <c r="I16" s="56"/>
      <c r="J16" s="56"/>
      <c r="K16" s="56"/>
      <c r="L16" s="56"/>
      <c r="M16" s="56"/>
      <c r="N16" s="56"/>
    </row>
    <row r="17" spans="1:25" ht="18.45" customHeight="1" x14ac:dyDescent="0.3">
      <c r="C17" s="117" t="s">
        <v>36</v>
      </c>
      <c r="D17" s="117" t="s">
        <v>37</v>
      </c>
      <c r="E17" s="117" t="s">
        <v>38</v>
      </c>
      <c r="F17" s="117" t="s">
        <v>39</v>
      </c>
      <c r="G17" s="117" t="s">
        <v>40</v>
      </c>
      <c r="H17" s="117" t="s">
        <v>41</v>
      </c>
      <c r="I17" s="117" t="s">
        <v>42</v>
      </c>
      <c r="J17" s="117" t="s">
        <v>43</v>
      </c>
      <c r="K17" s="117" t="s">
        <v>44</v>
      </c>
      <c r="L17" s="117" t="s">
        <v>45</v>
      </c>
      <c r="M17" s="117" t="s">
        <v>46</v>
      </c>
      <c r="N17" s="117" t="s">
        <v>47</v>
      </c>
      <c r="O17" s="56"/>
    </row>
    <row r="18" spans="1:25" ht="18" customHeight="1" thickBot="1" x14ac:dyDescent="0.35">
      <c r="B18" s="57" t="s">
        <v>69</v>
      </c>
      <c r="C18" s="63">
        <v>0.2</v>
      </c>
      <c r="D18" s="64">
        <v>0.35</v>
      </c>
      <c r="E18" s="64">
        <v>0.45</v>
      </c>
      <c r="F18" s="64">
        <v>0.55000000000000004</v>
      </c>
      <c r="G18" s="64">
        <v>0.65</v>
      </c>
      <c r="H18" s="64">
        <v>0.7</v>
      </c>
      <c r="I18" s="64">
        <v>0.75</v>
      </c>
      <c r="J18" s="64">
        <v>0.8</v>
      </c>
      <c r="K18" s="65">
        <v>0.85</v>
      </c>
      <c r="L18" s="66">
        <v>0.9</v>
      </c>
      <c r="M18" s="65">
        <v>0.95</v>
      </c>
      <c r="N18" s="67">
        <v>1</v>
      </c>
      <c r="Y18" s="31"/>
    </row>
    <row r="19" spans="1:25" ht="15.45" customHeight="1" x14ac:dyDescent="0.2">
      <c r="I19" s="56"/>
      <c r="J19" s="56"/>
      <c r="K19" s="56"/>
      <c r="L19" s="56"/>
      <c r="M19" s="56"/>
      <c r="N19" s="56"/>
      <c r="O19" s="56"/>
    </row>
    <row r="20" spans="1:25" ht="18" customHeight="1" x14ac:dyDescent="0.3">
      <c r="A20" s="28"/>
      <c r="B20" s="33" t="s">
        <v>85</v>
      </c>
      <c r="C20" s="54" t="s">
        <v>1</v>
      </c>
      <c r="D20" s="54" t="s">
        <v>2</v>
      </c>
      <c r="E20" s="54" t="s">
        <v>3</v>
      </c>
      <c r="F20" s="54" t="s">
        <v>4</v>
      </c>
      <c r="G20" s="54" t="s">
        <v>5</v>
      </c>
      <c r="H20" s="54" t="s">
        <v>6</v>
      </c>
      <c r="I20" s="54" t="s">
        <v>7</v>
      </c>
      <c r="J20" s="54" t="s">
        <v>8</v>
      </c>
      <c r="K20" s="54" t="s">
        <v>9</v>
      </c>
      <c r="L20" s="54" t="s">
        <v>10</v>
      </c>
      <c r="M20" s="54" t="s">
        <v>11</v>
      </c>
      <c r="N20" s="54" t="s">
        <v>12</v>
      </c>
    </row>
    <row r="21" spans="1:25" ht="18" customHeight="1" x14ac:dyDescent="0.3">
      <c r="A21" s="28"/>
      <c r="B21" s="122" t="s">
        <v>115</v>
      </c>
      <c r="C21" s="68">
        <f>'ДДС ZETTA 300'!D16</f>
        <v>-614210.52631578944</v>
      </c>
      <c r="D21" s="68">
        <f>C21+'ДДС ZETTA 300'!E16</f>
        <v>-972631.57894736843</v>
      </c>
      <c r="E21" s="68">
        <f>D21+'ДДС ZETTA 300'!F16</f>
        <v>-1088663.1578947369</v>
      </c>
      <c r="F21" s="68">
        <f>E21+'ДДС ZETTA 300'!G16</f>
        <v>-1095700</v>
      </c>
      <c r="G21" s="68">
        <f>F21+'ДДС ZETTA 300'!H16</f>
        <v>-916390.26315789472</v>
      </c>
      <c r="H21" s="68">
        <f>G21+'ДДС ZETTA 300'!I16</f>
        <v>-737080.52631578944</v>
      </c>
      <c r="I21" s="68">
        <f>H21+'ДДС ZETTA 300'!J16</f>
        <v>-465125.26315789472</v>
      </c>
      <c r="J21" s="68">
        <f>I21+'ДДС ZETTA 300'!K16</f>
        <v>-100524.47368421062</v>
      </c>
      <c r="K21" s="68">
        <f>J21+'ДДС ZETTA 300'!L16</f>
        <v>264076.31578947348</v>
      </c>
      <c r="L21" s="68">
        <f>K21+'ДДС ZETTA 300'!M16</f>
        <v>700922.63157894718</v>
      </c>
      <c r="M21" s="68">
        <f>L21+'ДДС ZETTA 300'!N16</f>
        <v>1207464.4736842103</v>
      </c>
      <c r="N21" s="68">
        <f>M21+'ДДС ZETTA 300'!O16</f>
        <v>1783701.8421052629</v>
      </c>
      <c r="P21" s="35"/>
    </row>
    <row r="22" spans="1:25" ht="18" customHeight="1" x14ac:dyDescent="0.3">
      <c r="B22" s="122" t="s">
        <v>138</v>
      </c>
      <c r="C22" s="68">
        <f>'ДДС ZETTA 450'!D16</f>
        <v>-631315.78947368427</v>
      </c>
      <c r="D22" s="68">
        <f>C22+'ДДС ZETTA 450'!E16</f>
        <v>-892347.3684210527</v>
      </c>
      <c r="E22" s="68">
        <f>D22+'ДДС ZETTA 450'!F16</f>
        <v>-935389.47368421068</v>
      </c>
      <c r="F22" s="68">
        <f>E22+'ДДС ZETTA 450'!G16</f>
        <v>-786684.21052631596</v>
      </c>
      <c r="G22" s="68">
        <f>F22+'ДДС ZETTA 450'!H16</f>
        <v>-473087.89473684231</v>
      </c>
      <c r="H22" s="68">
        <f>G22+'ДДС ZETTA 450'!I16</f>
        <v>-89796.052631579223</v>
      </c>
      <c r="I22" s="68">
        <f>H22+'ДДС ZETTA 450'!J16</f>
        <v>363191.31578947324</v>
      </c>
      <c r="J22" s="68">
        <f>I22+'ДДС ZETTA 450'!K16</f>
        <v>885874.21052631526</v>
      </c>
      <c r="K22" s="68">
        <f>J22+'ДДС ZETTA 450'!L16</f>
        <v>1478252.6315789467</v>
      </c>
      <c r="L22" s="68">
        <f>K22+'ДДС ZETTA 450'!M16</f>
        <v>2140326.5789473676</v>
      </c>
      <c r="M22" s="68">
        <f>L22+'ДДС ZETTA 450'!N16</f>
        <v>2872096.0526315784</v>
      </c>
      <c r="N22" s="68">
        <f>M22+'ДДС ZETTA 450'!O16</f>
        <v>3673561.0526315784</v>
      </c>
    </row>
    <row r="23" spans="1:25" ht="18" customHeight="1" thickBot="1" x14ac:dyDescent="0.35">
      <c r="B23" s="123" t="s">
        <v>139</v>
      </c>
      <c r="C23" s="69">
        <f>'ДДС ZETTA 600'!D16</f>
        <v>-618421.05263157899</v>
      </c>
      <c r="D23" s="69">
        <f>C23+'ДДС ZETTA 600'!E16</f>
        <v>-776463.15789473697</v>
      </c>
      <c r="E23" s="69">
        <f>D23+'ДДС ZETTA 600'!F16</f>
        <v>-725507.89473684225</v>
      </c>
      <c r="F23" s="69">
        <f>E23+'ДДС ZETTA 600'!G16</f>
        <v>-439966.05263157916</v>
      </c>
      <c r="G23" s="69">
        <f>F23+'ДДС ZETTA 600'!H16</f>
        <v>-15033.157894737145</v>
      </c>
      <c r="H23" s="69">
        <f>G23+'ДДС ZETTA 600'!I16</f>
        <v>479595.26315789431</v>
      </c>
      <c r="I23" s="69">
        <f>H23+'ДДС ZETTA 600'!J16</f>
        <v>1113614.7368421049</v>
      </c>
      <c r="J23" s="69">
        <f>I23+'ДДС ZETTA 600'!K16</f>
        <v>1817329.7368421049</v>
      </c>
      <c r="K23" s="69">
        <f>J23+'ДДС ZETTA 600'!L16</f>
        <v>2590740.2631578944</v>
      </c>
      <c r="L23" s="69">
        <f>K23+'ДДС ZETTA 600'!M16</f>
        <v>3433846.3157894732</v>
      </c>
      <c r="M23" s="69">
        <f>L23+'ДДС ZETTA 600'!N16</f>
        <v>4346647.8947368413</v>
      </c>
      <c r="N23" s="69">
        <f>M23+'ДДС ZETTA 600'!O16</f>
        <v>5398840.5263157887</v>
      </c>
      <c r="V23" s="31"/>
    </row>
    <row r="24" spans="1:25" ht="14.55" customHeight="1" x14ac:dyDescent="0.3">
      <c r="B24" s="33" t="s">
        <v>85</v>
      </c>
      <c r="C24" s="54" t="s">
        <v>13</v>
      </c>
      <c r="D24" s="54" t="s">
        <v>14</v>
      </c>
      <c r="E24" s="54" t="s">
        <v>15</v>
      </c>
      <c r="F24" s="54" t="s">
        <v>16</v>
      </c>
      <c r="G24" s="54" t="s">
        <v>17</v>
      </c>
      <c r="H24" s="54" t="s">
        <v>18</v>
      </c>
      <c r="I24" s="54" t="s">
        <v>19</v>
      </c>
      <c r="J24" s="54" t="s">
        <v>20</v>
      </c>
      <c r="K24" s="54" t="s">
        <v>21</v>
      </c>
      <c r="L24" s="54" t="s">
        <v>22</v>
      </c>
      <c r="M24" s="54" t="s">
        <v>23</v>
      </c>
      <c r="N24" s="54" t="s">
        <v>24</v>
      </c>
      <c r="Q24" s="35"/>
      <c r="R24" s="35"/>
      <c r="S24" s="35"/>
      <c r="T24" s="35"/>
      <c r="U24" s="35"/>
    </row>
    <row r="25" spans="1:25" ht="16.95" customHeight="1" x14ac:dyDescent="0.3">
      <c r="B25" s="122" t="s">
        <v>115</v>
      </c>
      <c r="C25" s="68">
        <f>'ДДС ZETTA 300'!P17</f>
        <v>2359939.2105263155</v>
      </c>
      <c r="D25" s="68">
        <f>'ДДС ZETTA 300'!Q17</f>
        <v>2936176.5789473681</v>
      </c>
      <c r="E25" s="68">
        <f>'ДДС ZETTA 300'!R17</f>
        <v>3512413.9473684207</v>
      </c>
      <c r="F25" s="68">
        <f>'ДДС ZETTA 300'!S17</f>
        <v>4088651.3157894732</v>
      </c>
      <c r="G25" s="68">
        <f>'ДДС ZETTA 300'!T17</f>
        <v>4664888.6842105258</v>
      </c>
      <c r="H25" s="68">
        <f>'ДДС ZETTA 300'!U17</f>
        <v>5241126.0526315784</v>
      </c>
      <c r="I25" s="68">
        <f>'ДДС ZETTA 300'!V17</f>
        <v>5817363.421052631</v>
      </c>
      <c r="J25" s="68">
        <f>'ДДС ZETTA 300'!W17</f>
        <v>6393600.7894736836</v>
      </c>
      <c r="K25" s="68">
        <f>'ДДС ZETTA 300'!X17</f>
        <v>6969838.1578947362</v>
      </c>
      <c r="L25" s="68">
        <f>'ДДС ZETTA 300'!Y17</f>
        <v>7546075.5263157887</v>
      </c>
      <c r="M25" s="68">
        <f>'ДДС ZETTA 300'!Z17</f>
        <v>8122312.8947368413</v>
      </c>
      <c r="N25" s="68">
        <f>'ДДС ZETTA 300'!AA17</f>
        <v>8698550.263157893</v>
      </c>
    </row>
    <row r="26" spans="1:25" ht="16.95" customHeight="1" x14ac:dyDescent="0.3">
      <c r="B26" s="122" t="s">
        <v>138</v>
      </c>
      <c r="C26" s="68">
        <f>'ДДС ZETTA 450'!P17</f>
        <v>4475026.0526315784</v>
      </c>
      <c r="D26" s="68">
        <f>'ДДС ZETTA 450'!Q17</f>
        <v>5276491.0526315784</v>
      </c>
      <c r="E26" s="68">
        <f>'ДДС ZETTA 450'!R17</f>
        <v>6077956.0526315784</v>
      </c>
      <c r="F26" s="68">
        <f>'ДДС ZETTA 450'!S17</f>
        <v>6879421.0526315784</v>
      </c>
      <c r="G26" s="68">
        <f>'ДДС ZETTA 450'!T17</f>
        <v>7680886.0526315784</v>
      </c>
      <c r="H26" s="68">
        <f>'ДДС ZETTA 450'!U17</f>
        <v>8482351.0526315793</v>
      </c>
      <c r="I26" s="68">
        <f>'ДДС ZETTA 450'!V17</f>
        <v>9283816.0526315793</v>
      </c>
      <c r="J26" s="68">
        <f>'ДДС ZETTA 450'!W17</f>
        <v>10085281.052631579</v>
      </c>
      <c r="K26" s="68">
        <f>'ДДС ZETTA 450'!X17</f>
        <v>10886746.052631579</v>
      </c>
      <c r="L26" s="68">
        <f>'ДДС ZETTA 450'!Y17</f>
        <v>11688211.052631579</v>
      </c>
      <c r="M26" s="68">
        <f>'ДДС ZETTA 450'!Z17</f>
        <v>12489676.052631579</v>
      </c>
      <c r="N26" s="68">
        <f>'ДДС ZETTA 450'!AA17</f>
        <v>13291141.052631579</v>
      </c>
    </row>
    <row r="27" spans="1:25" ht="16.95" customHeight="1" thickBot="1" x14ac:dyDescent="0.35">
      <c r="B27" s="123" t="s">
        <v>139</v>
      </c>
      <c r="C27" s="124">
        <f>'ДДС ZETTA 600'!P17</f>
        <v>6451033.1578947362</v>
      </c>
      <c r="D27" s="124">
        <f>'ДДС ZETTA 600'!Q17</f>
        <v>7503225.7894736836</v>
      </c>
      <c r="E27" s="124">
        <f>'ДДС ZETTA 600'!R17</f>
        <v>8555418.421052631</v>
      </c>
      <c r="F27" s="124">
        <f>'ДДС ZETTA 600'!S17</f>
        <v>9607611.0526315793</v>
      </c>
      <c r="G27" s="124">
        <f>'ДДС ZETTA 600'!T17</f>
        <v>10659803.684210528</v>
      </c>
      <c r="H27" s="124">
        <f>'ДДС ZETTA 600'!U17</f>
        <v>11711996.315789476</v>
      </c>
      <c r="I27" s="124">
        <f>'ДДС ZETTA 600'!V17</f>
        <v>12764188.947368424</v>
      </c>
      <c r="J27" s="124">
        <f>'ДДС ZETTA 600'!W17</f>
        <v>13816381.578947373</v>
      </c>
      <c r="K27" s="124">
        <f>'ДДС ZETTA 600'!X17</f>
        <v>14868574.210526321</v>
      </c>
      <c r="L27" s="124">
        <f>'ДДС ZETTA 600'!Y17</f>
        <v>15920766.842105269</v>
      </c>
      <c r="M27" s="124">
        <f>'ДДС ZETTA 600'!Z17</f>
        <v>16972959.473684218</v>
      </c>
      <c r="N27" s="124">
        <f>'ДДС ZETTA 600'!AA17</f>
        <v>18025152.105263166</v>
      </c>
    </row>
    <row r="29" spans="1:25" x14ac:dyDescent="0.3">
      <c r="B29" s="122" t="s">
        <v>99</v>
      </c>
      <c r="O29" s="53"/>
    </row>
    <row r="30" spans="1:25" x14ac:dyDescent="0.3">
      <c r="B30" s="122" t="s">
        <v>154</v>
      </c>
    </row>
    <row r="31" spans="1:25" x14ac:dyDescent="0.3">
      <c r="B31" s="122" t="s">
        <v>160</v>
      </c>
    </row>
    <row r="32" spans="1:25" x14ac:dyDescent="0.3">
      <c r="B32" s="122" t="s">
        <v>157</v>
      </c>
    </row>
    <row r="33" spans="2:6" ht="15" thickBot="1" x14ac:dyDescent="0.35"/>
    <row r="34" spans="2:6" x14ac:dyDescent="0.3">
      <c r="B34" s="122" t="s">
        <v>149</v>
      </c>
      <c r="E34" s="62"/>
      <c r="F34" s="141"/>
    </row>
  </sheetData>
  <protectedRanges>
    <protectedRange sqref="J7:L7 J3:L3 C13:C14 H14 C3:H3" name="Диапазон3"/>
    <protectedRange sqref="J15:L15 C18:N18" name="Диапазон2"/>
  </protectedRanges>
  <mergeCells count="32">
    <mergeCell ref="E3:F3"/>
    <mergeCell ref="C3:D3"/>
    <mergeCell ref="C5:D5"/>
    <mergeCell ref="C6:D6"/>
    <mergeCell ref="C7:D7"/>
    <mergeCell ref="E6:F6"/>
    <mergeCell ref="G5:H5"/>
    <mergeCell ref="E5:F5"/>
    <mergeCell ref="C4:D4"/>
    <mergeCell ref="E4:F4"/>
    <mergeCell ref="G4:H4"/>
    <mergeCell ref="G6:H6"/>
    <mergeCell ref="G7:H7"/>
    <mergeCell ref="C9:D9"/>
    <mergeCell ref="E9:F9"/>
    <mergeCell ref="G9:H9"/>
    <mergeCell ref="J13:L13"/>
    <mergeCell ref="C2:D2"/>
    <mergeCell ref="E2:F2"/>
    <mergeCell ref="G2:H2"/>
    <mergeCell ref="C8:D8"/>
    <mergeCell ref="E8:F8"/>
    <mergeCell ref="G8:H8"/>
    <mergeCell ref="C11:D11"/>
    <mergeCell ref="E11:F11"/>
    <mergeCell ref="G11:H11"/>
    <mergeCell ref="J5:L5"/>
    <mergeCell ref="C10:D10"/>
    <mergeCell ref="E10:F10"/>
    <mergeCell ref="G10:H10"/>
    <mergeCell ref="E7:F7"/>
    <mergeCell ref="G3:H3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zoomScaleNormal="100" zoomScalePageLayoutView="90" workbookViewId="0">
      <pane xSplit="2" topLeftCell="C1" activePane="topRight" state="frozen"/>
      <selection pane="topRight" activeCell="D36" sqref="D36"/>
    </sheetView>
  </sheetViews>
  <sheetFormatPr defaultColWidth="8.6640625" defaultRowHeight="14.4" outlineLevelRow="1" x14ac:dyDescent="0.3"/>
  <cols>
    <col min="1" max="1" width="0.44140625" style="1" customWidth="1"/>
    <col min="2" max="2" width="49.6640625" style="1" customWidth="1"/>
    <col min="3" max="3" width="15.109375" style="1" customWidth="1"/>
    <col min="4" max="5" width="13.33203125" style="1" customWidth="1"/>
    <col min="6" max="27" width="12.33203125" style="1" customWidth="1"/>
    <col min="28" max="30" width="14.6640625" style="1" customWidth="1"/>
    <col min="31" max="16384" width="8.6640625" style="1"/>
  </cols>
  <sheetData>
    <row r="1" spans="1:30" ht="2.5499999999999998" customHeight="1" x14ac:dyDescent="0.2"/>
    <row r="2" spans="1:30" s="50" customFormat="1" ht="17.55" customHeight="1" x14ac:dyDescent="0.3">
      <c r="B2" s="120" t="s">
        <v>0</v>
      </c>
      <c r="C2" s="2" t="s">
        <v>61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3" t="s">
        <v>25</v>
      </c>
      <c r="AC2" s="4" t="s">
        <v>26</v>
      </c>
      <c r="AD2" s="5"/>
    </row>
    <row r="3" spans="1:30" ht="15.45" customHeight="1" x14ac:dyDescent="0.2"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9"/>
    </row>
    <row r="4" spans="1:30" s="81" customFormat="1" ht="16.95" customHeight="1" x14ac:dyDescent="0.3">
      <c r="B4" s="99" t="s">
        <v>103</v>
      </c>
      <c r="C4" s="83"/>
      <c r="D4" s="84">
        <f>D5*$F$22</f>
        <v>540000</v>
      </c>
      <c r="E4" s="84">
        <f>E5*$F$22</f>
        <v>1080000</v>
      </c>
      <c r="F4" s="84">
        <f>F5*$F$22</f>
        <v>1620000</v>
      </c>
      <c r="G4" s="84">
        <f>G5*$F$22</f>
        <v>1890000</v>
      </c>
      <c r="H4" s="84">
        <f>H5*$F$22</f>
        <v>2430000</v>
      </c>
      <c r="I4" s="84">
        <f>I5*$F$22</f>
        <v>2430000</v>
      </c>
      <c r="J4" s="84">
        <f>J5*$F$22</f>
        <v>2700000</v>
      </c>
      <c r="K4" s="84">
        <f>K5*$F$22</f>
        <v>2970000</v>
      </c>
      <c r="L4" s="84">
        <f>L5*$F$22</f>
        <v>2970000</v>
      </c>
      <c r="M4" s="84">
        <f>M5*$F$22</f>
        <v>3240000</v>
      </c>
      <c r="N4" s="84">
        <f>N5*$F$22</f>
        <v>3510000</v>
      </c>
      <c r="O4" s="84">
        <f>O5*$F$22</f>
        <v>3780000</v>
      </c>
      <c r="P4" s="84">
        <f>P5*$F$22</f>
        <v>3780000</v>
      </c>
      <c r="Q4" s="84">
        <f>Q5*$F$22</f>
        <v>3780000</v>
      </c>
      <c r="R4" s="84">
        <f>R5*$F$22</f>
        <v>3780000</v>
      </c>
      <c r="S4" s="84">
        <f>S5*$F$22</f>
        <v>3780000</v>
      </c>
      <c r="T4" s="84">
        <f>T5*$F$22</f>
        <v>3780000</v>
      </c>
      <c r="U4" s="84">
        <f>U5*$F$22</f>
        <v>3780000</v>
      </c>
      <c r="V4" s="84">
        <f>V5*$F$22</f>
        <v>3780000</v>
      </c>
      <c r="W4" s="84">
        <f>W5*$F$22</f>
        <v>3780000</v>
      </c>
      <c r="X4" s="84">
        <f>X5*$F$22</f>
        <v>3780000</v>
      </c>
      <c r="Y4" s="84">
        <f>Y5*$F$22</f>
        <v>3780000</v>
      </c>
      <c r="Z4" s="84">
        <f>Z5*$F$22</f>
        <v>3780000</v>
      </c>
      <c r="AA4" s="84">
        <f>AA5*$F$22</f>
        <v>3780000</v>
      </c>
      <c r="AB4" s="85">
        <f>SUM(D4:O4)</f>
        <v>29160000</v>
      </c>
      <c r="AC4" s="85">
        <f>SUM(P4:AA4)</f>
        <v>45360000</v>
      </c>
    </row>
    <row r="5" spans="1:30" s="81" customFormat="1" ht="16.95" customHeight="1" thickBot="1" x14ac:dyDescent="0.35">
      <c r="A5" s="86"/>
      <c r="B5" s="115" t="s">
        <v>104</v>
      </c>
      <c r="C5" s="87"/>
      <c r="D5" s="88">
        <f t="shared" ref="D5:F5" si="0">ROUNDDOWN($F$23*D28,0)</f>
        <v>2</v>
      </c>
      <c r="E5" s="88">
        <f t="shared" si="0"/>
        <v>4</v>
      </c>
      <c r="F5" s="88">
        <f t="shared" si="0"/>
        <v>6</v>
      </c>
      <c r="G5" s="88">
        <f>ROUNDDOWN($F$23*G28,0)</f>
        <v>7</v>
      </c>
      <c r="H5" s="88">
        <f>ROUNDDOWN($F$23*H28,0)</f>
        <v>9</v>
      </c>
      <c r="I5" s="88">
        <f>ROUNDDOWN($F$23*I28,0)</f>
        <v>9</v>
      </c>
      <c r="J5" s="88">
        <f t="shared" ref="J5:P5" si="1">ROUNDDOWN($F$23*J28,0)</f>
        <v>10</v>
      </c>
      <c r="K5" s="88">
        <f t="shared" si="1"/>
        <v>11</v>
      </c>
      <c r="L5" s="88">
        <f t="shared" si="1"/>
        <v>11</v>
      </c>
      <c r="M5" s="88">
        <f t="shared" si="1"/>
        <v>12</v>
      </c>
      <c r="N5" s="88">
        <f t="shared" si="1"/>
        <v>13</v>
      </c>
      <c r="O5" s="88">
        <f t="shared" si="1"/>
        <v>14</v>
      </c>
      <c r="P5" s="88">
        <f>$O$5</f>
        <v>14</v>
      </c>
      <c r="Q5" s="88">
        <f t="shared" ref="Q5:AA5" si="2">$O$5</f>
        <v>14</v>
      </c>
      <c r="R5" s="88">
        <f t="shared" si="2"/>
        <v>14</v>
      </c>
      <c r="S5" s="88">
        <f t="shared" si="2"/>
        <v>14</v>
      </c>
      <c r="T5" s="88">
        <f t="shared" si="2"/>
        <v>14</v>
      </c>
      <c r="U5" s="88">
        <f t="shared" si="2"/>
        <v>14</v>
      </c>
      <c r="V5" s="88">
        <f t="shared" si="2"/>
        <v>14</v>
      </c>
      <c r="W5" s="88">
        <f t="shared" si="2"/>
        <v>14</v>
      </c>
      <c r="X5" s="88">
        <f t="shared" si="2"/>
        <v>14</v>
      </c>
      <c r="Y5" s="88">
        <f t="shared" si="2"/>
        <v>14</v>
      </c>
      <c r="Z5" s="88">
        <f t="shared" si="2"/>
        <v>14</v>
      </c>
      <c r="AA5" s="88">
        <f t="shared" si="2"/>
        <v>14</v>
      </c>
      <c r="AB5" s="89">
        <f>SUM(D5:O5)</f>
        <v>108</v>
      </c>
      <c r="AC5" s="89">
        <f>SUM(P5:AA5)</f>
        <v>168</v>
      </c>
    </row>
    <row r="6" spans="1:30" s="81" customFormat="1" ht="16.95" customHeight="1" thickTop="1" x14ac:dyDescent="0.3">
      <c r="B6" s="99" t="s">
        <v>105</v>
      </c>
      <c r="C6" s="118">
        <f>C24*C26</f>
        <v>0</v>
      </c>
    </row>
    <row r="7" spans="1:30" s="81" customFormat="1" ht="16.8" customHeight="1" x14ac:dyDescent="0.3">
      <c r="B7" s="99" t="s">
        <v>114</v>
      </c>
      <c r="C7" s="118"/>
      <c r="D7" s="90">
        <f>D4*$H$25*(100%-$C$26)/(100%+$L$22)</f>
        <v>28421.05263157895</v>
      </c>
      <c r="E7" s="90">
        <f>E4*$H$25*(100%-$C$26)/(100%+$L$22)</f>
        <v>56842.1052631579</v>
      </c>
      <c r="F7" s="90">
        <f>IF(SUM(D7:E7)&gt;$C$24*(100%-$C$26),0,IF((SUM(D7:E7)+$H$25*F4/(100%+$L$22))&lt;=$C$24*(100%-$C$26),$H$25*F4/(100%+$L$22),IF((SUM(D7:E7)+$H$25*F4/(100%+$L$22))&gt;$C$24*(100%-$C$26),$C$24*(100%-$C$26)-SUM(D7:E7))))</f>
        <v>85263.15789473684</v>
      </c>
      <c r="G7" s="90">
        <f>IF(SUM(D7:F7)&gt;$C$24*(100%-$C$26),0,IF((SUM(D7:F7)+$H$25*G4/(100%+$L$22))&lt;=$C$24*(100%-$C$26),$H$25*G4/(100%+$L$22),IF((SUM(D7:F7)+$H$25*G4/(100%+$L$22))&gt;$C$24*(100%-$C$26),$C$24*(100%-$C$26)-SUM(D7:F7))))</f>
        <v>99473.68421052632</v>
      </c>
      <c r="H7" s="90">
        <f>IF(SUM(D7:G7)&gt;$C$24*(100%-$C$26),0,IF((SUM(D7:G7)+$H$25*H4/(100%+$L$22))&lt;=$C$24*(100%-$C$26),$H$25*H4/(100%+$L$22),IF((SUM(D7:G7)+$H$25*H4/(100%+$L$22))&gt;$C$24*(100%-$C$26),$C$24*(100%-$C$26)-SUM(D7:G7))))</f>
        <v>127894.73684210527</v>
      </c>
      <c r="I7" s="90">
        <f>IF(SUM(D7:H7)&gt;$C$24*(100%-$C$26),0,IF((SUM(D7:H7)+$H$25*I4/(100%+$L$22))&lt;=$C$24*(100%-$C$26),$H$25*I4/(100%+$L$22),IF((SUM(D7:H7)+$H$25*I4/(100%+$L$22))&gt;$C$24*(100%-$C$26),$C$24*(100%-$C$26)-SUM(D7:H7))))</f>
        <v>127894.73684210527</v>
      </c>
      <c r="J7" s="90">
        <f>IF(SUM(D7:I7)&gt;$C$24*(100%-$C$26),0,IF((SUM(D7:I7)+$H$25*J4/(100%+$L$22))&lt;=$C$24*(100%-$C$26),$H$25*J4/(100%+$L$22),IF((SUM(D7:I7)+$H$25*J4/(100%+$L$22))&gt;$C$24*(100%-$C$26),$C$24*(100%-$C$26)-SUM(D7:I7))))</f>
        <v>142105.26315789475</v>
      </c>
      <c r="K7" s="90">
        <f>IF(SUM(D7:J7)&gt;$C$24*(100%-$C$26),0,IF((SUM(D7:J7)+$H$25*K4/(100%+$L$22))&lt;=$C$24*(100%-$C$26),$H$25*K4/(100%+$L$22),IF((SUM(D7:J7)+$H$25*K4/(100%+$L$22))&gt;$C$24*(100%-$C$26),$C$24*(100%-$C$26)-SUM(D7:J7))))</f>
        <v>156315.78947368421</v>
      </c>
      <c r="L7" s="90">
        <f>IF(SUM(D7:K7)&gt;$C$24*(100%-$C$26),0,IF((SUM(D7:K7)+$H$25*L4/(100%+$L$22))&lt;=$C$24*(100%-$C$26),$H$25*L4/(100%+$L$22),IF((SUM(D7:K7)+$H$25*L4/(100%+$L$22))&gt;$C$24*(100%-$C$26),$C$24*(100%-$C$26)-SUM(D7:K7))))</f>
        <v>156315.78947368421</v>
      </c>
      <c r="M7" s="90">
        <f>IF(SUM(D7:L7)&gt;$C$24*(100%-$C$26),0,IF((SUM(D7:L7)+$H$25*M4/(100%+$L$22))&lt;=$C$24*(100%-$C$26),$H$25*M4/(100%+$L$22),IF((SUM(D7:L7)+$H$25*M4/(100%+$L$22))&gt;$C$24*(100%-$C$26),$C$24*(100%-$C$26)-SUM(D7:L7))))</f>
        <v>170526.31578947368</v>
      </c>
      <c r="N7" s="90">
        <f>IF(SUM(D7:M7)&gt;$C$24*(100%-$C$26),0,IF((SUM(D7:M7)+$H$25*N4/(100%+$L$22))&lt;=$C$24*(100%-$C$26),$H$25*N4/(100%+$L$22),IF((SUM(D7:M7)+$H$25*N4/(100%+$L$22))&gt;$C$24*(100%-$C$26),$C$24*(100%-$C$26)-SUM(D7:M7))))</f>
        <v>184736.84210526317</v>
      </c>
      <c r="O7" s="90">
        <f>IF(SUM(D7:N7)&gt;=$C$24*(100%-$C$26),0,IF((SUM(D7:N7)+$H$25*O4/(100%+$L$22))&lt;=$C$24*(100%-$C$26),$H$25*O4/(100%+$L$22),IF((SUM(D7:N7)+$H$25*O4/(100%+$L$22))&gt;$C$24*(100%-$C$26),$C$24*(100%-$C$26)-SUM(D7:N7))))</f>
        <v>198947.36842105264</v>
      </c>
      <c r="P7" s="90">
        <f>IF(SUM(D7:O7)&gt;$C$24*(100%-$C$26),0,IF((SUM(D7:O7)+$H$25*P4/(100%+$L$22))&lt;=$C$24*(100%-$C$26),$H$25*P4/(100%+$L$22),IF((SUM(D7:O7)+$H$25*P4/(100%+$L$22))&gt;$C$24*(100%-$C$26),$C$24*(100%-$C$26)-SUM(D7:O7))))</f>
        <v>198947.36842105264</v>
      </c>
      <c r="Q7" s="90">
        <f>IF(SUM(D7:P7)&gt;$C$24*(100%-$C$26),0,IF((SUM(D7:P7)+$H$25*Q4/(100%+$L$22))&lt;=$C$24*(100%-$C$26),$H$25*Q4/(100%+$L$22),IF((SUM(D7:P7)+$H$25*Q4/(100%+$L$22))&gt;$C$24*(100%-$C$26),$C$24*(100%-$C$26)-SUM(D7:P7))))</f>
        <v>198947.36842105264</v>
      </c>
      <c r="R7" s="90">
        <f>IF(SUM(D7:Q7)&gt;$C$24*(100%-$C$26),0,IF((SUM(D7:Q7)+$H$25*R4/(100%+$L$22))&lt;=$C$24*(100%-$C$26),$H$25*R4/(100%+$L$22),IF((SUM(D7:Q7)+$H$25*R4/(100%+$L$22))&gt;$C$24*(100%-$C$26),$C$24*(100%-$C$26)-SUM(D7:Q7))))</f>
        <v>198947.36842105264</v>
      </c>
      <c r="S7" s="90">
        <f>IF(SUM(D7:R7)&gt;$C$24*(100%-$C$26),0,IF((SUM(D7:R7)+$H$25*S4/(100%+$L$22))&lt;=$C$24*(100%-$C$26),$H$25*S4/(100%+$L$22),IF((SUM(D7:R7)+$H$25*S4/(100%+$L$22))&gt;$C$24*(100%-$C$26),$C$24*(100%-$C$26)-SUM(D7:R7))))</f>
        <v>198947.36842105264</v>
      </c>
      <c r="T7" s="90">
        <f>IF(SUM(D7:S7)&gt;$C$24*(100%-$C$26),0,IF((SUM(D7:S7)+$H$25*T4/(100%+$L$22))&lt;=$C$24*(100%-$C$26),$H$25*T4/(100%+$L$22),IF((SUM(D7:S7)+$H$25*T4/(100%+$L$22))&gt;$C$24*(100%-$C$26),$C$24*(100%-$C$26)-SUM(D7:S7))))</f>
        <v>198947.36842105264</v>
      </c>
      <c r="U7" s="90">
        <f>IF(SUM(D7:T7)&gt;$C$24*(100%-$C$26),0,IF((SUM(D7:T7)+$H$25*U4/(100%+$L$22))&lt;=$C$24*(100%-$C$26),$H$25*U4/(100%+$L$22),IF((SUM(D7:T7)+$H$25*U4/(100%+$L$22))&gt;$C$24*(100%-$C$26),$C$24*(100%-$C$26)-SUM(D7:T7))))</f>
        <v>198947.36842105264</v>
      </c>
      <c r="V7" s="90">
        <f>IF(SUM(D7:U7)&gt;$C$24*(100%-$C$26),0,IF((SUM(D7:U7)+$H$25*V4/(100%+$L$22))&lt;=$C$24*(100%-$C$26),$H$25*V4/(100%+$L$22),IF((SUM(D7:U7)+$H$25*V4/(100%+$L$22))&gt;$C$24*(100%-$C$26),$C$24*(100%-$C$26)-SUM(D7:U7))))</f>
        <v>198947.36842105264</v>
      </c>
      <c r="W7" s="90">
        <f>IF(SUM(D7:V7)&gt;=$C$24*(100%-$C$26),0,IF((SUM(D7:V7)+$H$25*W4/(100%+$L$22))&lt;=$C$24*(100%-$C$26),$H$25*W4/(100%+$L$22),IF((SUM(D7:V7)+$H$25*W4/(100%+$L$22))&gt;=$C$24*(100%-$C$26),$C$24*(100%-$C$26)-SUM(D7:V7))))</f>
        <v>198947.36842105264</v>
      </c>
      <c r="X7" s="90">
        <f>IF(SUM(D7:W7)&gt;=$C$24*(100%-$C$26),0,IF((SUM(D7:W7)+$H$25*X4/(100%+$L$22))&lt;=$C$24*(100%-$C$26),$H$25*X4/(100%+$L$22),IF((SUM(D7:W7)+$H$25*X4/(100%+$L$22))&gt;=$C$24*(100%-$C$26),$C$24*(100%-$C$26)-SUM(D7:W7))))</f>
        <v>198947.36842105264</v>
      </c>
      <c r="Y7" s="90">
        <f>IF(SUM(D7:X7)&gt;=$C$24*(100%-$C$26),0,IF((SUM(D7:X7)+$H$25*Y4/(100%+$L$22))&lt;=$C$24*(100%-$C$26),$H$25*Y4/(100%+$L$22),IF((SUM(D7:X7)+$H$25*Y4/(100%+$L$22))&gt;=$C$24*(100%-$C$26),$C$24*(100%-$C$26)-SUM(D7:X7))))</f>
        <v>198947.36842105264</v>
      </c>
      <c r="Z7" s="90">
        <f>IF(SUM(D7:Y7)&gt;=$C$24*(100%-$C$26),0,IF((SUM(D7:Y7)+$H$25*Z4/(100%+$L$22))&lt;=$C$24*(100%-$C$26),$H$25*Z4/(100%+$L$22),IF((SUM(D7:Y7)+$H$25*Z4/(100%+$L$22))&gt;=$C$24*(100%-$C$26),$C$24*(100%-$C$26)-SUM(D7:Y7))))</f>
        <v>198947.36842105264</v>
      </c>
      <c r="AA7" s="171">
        <f>IF((C24*(100%-$C$26)-SUM(D7:Z7))&gt;=0,(C24*(100%-$C$26)-SUM(D7:Z7)),0)</f>
        <v>476842.10526315821</v>
      </c>
      <c r="AB7" s="85">
        <f>SUM(D7:O7)</f>
        <v>1534736.8421052631</v>
      </c>
      <c r="AC7" s="85">
        <f>SUM(P7:AA7)</f>
        <v>2665263.1578947371</v>
      </c>
      <c r="AD7" s="126">
        <f>AB7+AC7</f>
        <v>4200000</v>
      </c>
    </row>
    <row r="8" spans="1:30" s="81" customFormat="1" ht="16.95" customHeight="1" thickBot="1" x14ac:dyDescent="0.35">
      <c r="B8" s="115" t="s">
        <v>70</v>
      </c>
      <c r="C8" s="119">
        <f>C25</f>
        <v>1183000</v>
      </c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89"/>
    </row>
    <row r="9" spans="1:30" s="81" customFormat="1" ht="16.95" customHeight="1" thickTop="1" x14ac:dyDescent="0.3">
      <c r="B9" s="99" t="s">
        <v>106</v>
      </c>
      <c r="C9" s="83"/>
      <c r="D9" s="90">
        <f t="shared" ref="D9:AA9" si="3">$C$23</f>
        <v>300000</v>
      </c>
      <c r="E9" s="90">
        <f t="shared" si="3"/>
        <v>300000</v>
      </c>
      <c r="F9" s="90">
        <f t="shared" si="3"/>
        <v>300000</v>
      </c>
      <c r="G9" s="90">
        <f t="shared" si="3"/>
        <v>300000</v>
      </c>
      <c r="H9" s="90">
        <f t="shared" si="3"/>
        <v>300000</v>
      </c>
      <c r="I9" s="90">
        <f t="shared" si="3"/>
        <v>300000</v>
      </c>
      <c r="J9" s="90">
        <f t="shared" si="3"/>
        <v>300000</v>
      </c>
      <c r="K9" s="90">
        <f t="shared" si="3"/>
        <v>300000</v>
      </c>
      <c r="L9" s="90">
        <f t="shared" si="3"/>
        <v>300000</v>
      </c>
      <c r="M9" s="90">
        <f t="shared" si="3"/>
        <v>300000</v>
      </c>
      <c r="N9" s="90">
        <f t="shared" si="3"/>
        <v>300000</v>
      </c>
      <c r="O9" s="90">
        <f t="shared" si="3"/>
        <v>300000</v>
      </c>
      <c r="P9" s="90">
        <f t="shared" si="3"/>
        <v>300000</v>
      </c>
      <c r="Q9" s="90">
        <f t="shared" si="3"/>
        <v>300000</v>
      </c>
      <c r="R9" s="90">
        <f t="shared" si="3"/>
        <v>300000</v>
      </c>
      <c r="S9" s="90">
        <f t="shared" si="3"/>
        <v>300000</v>
      </c>
      <c r="T9" s="90">
        <f t="shared" si="3"/>
        <v>300000</v>
      </c>
      <c r="U9" s="90">
        <f t="shared" si="3"/>
        <v>300000</v>
      </c>
      <c r="V9" s="90">
        <f t="shared" si="3"/>
        <v>300000</v>
      </c>
      <c r="W9" s="90">
        <f t="shared" si="3"/>
        <v>300000</v>
      </c>
      <c r="X9" s="90">
        <f t="shared" si="3"/>
        <v>300000</v>
      </c>
      <c r="Y9" s="90">
        <f t="shared" si="3"/>
        <v>300000</v>
      </c>
      <c r="Z9" s="90">
        <f t="shared" si="3"/>
        <v>300000</v>
      </c>
      <c r="AA9" s="90">
        <f t="shared" si="3"/>
        <v>300000</v>
      </c>
      <c r="AB9" s="85">
        <f t="shared" ref="AB9" si="4">SUM(D9:O9)</f>
        <v>3600000</v>
      </c>
      <c r="AC9" s="85">
        <f t="shared" ref="AC9:AC13" si="5">SUM(P9:AA9)</f>
        <v>3600000</v>
      </c>
    </row>
    <row r="10" spans="1:30" s="81" customFormat="1" ht="16.95" customHeight="1" x14ac:dyDescent="0.3">
      <c r="B10" s="99" t="s">
        <v>27</v>
      </c>
      <c r="C10" s="91"/>
      <c r="D10" s="84">
        <f>IF(D4*$H$23&lt;$H$22,$H$22,D4*$H$23)</f>
        <v>100000</v>
      </c>
      <c r="E10" s="84">
        <f>IF(E4*$H$23&lt;$H$22,$H$22,E4*$H$23)</f>
        <v>100000</v>
      </c>
      <c r="F10" s="84">
        <f>IF(F4*$H$23&lt;$H$22,$H$22,F4*$H$23)</f>
        <v>113400.00000000001</v>
      </c>
      <c r="G10" s="84">
        <f>IF(G4*$H$23&lt;$H$22,$H$22,G4*$H$23)</f>
        <v>132300</v>
      </c>
      <c r="H10" s="84">
        <f>IF(H4*$H$23&lt;$H$22,$H$22,H4*$H$23)</f>
        <v>170100.00000000003</v>
      </c>
      <c r="I10" s="84">
        <f>IF(I4*$H$23&lt;$H$22,$H$22,I4*$H$23)</f>
        <v>170100.00000000003</v>
      </c>
      <c r="J10" s="84">
        <f>IF(J4*$H$23&lt;$H$22,$H$22,J4*$H$23)</f>
        <v>189000.00000000003</v>
      </c>
      <c r="K10" s="84">
        <f>IF(K4*$H$23&lt;$H$22,$H$22,K4*$H$23)</f>
        <v>207900.00000000003</v>
      </c>
      <c r="L10" s="84">
        <f>IF(L4*$H$23&lt;$H$22,$H$22,L4*$H$23)</f>
        <v>207900.00000000003</v>
      </c>
      <c r="M10" s="84">
        <f>IF(M4*$H$23&lt;$H$22,$H$22,M4*$H$23)</f>
        <v>226800.00000000003</v>
      </c>
      <c r="N10" s="84">
        <f>IF(N4*$H$23&lt;$H$22,$H$22,N4*$H$23)</f>
        <v>245700.00000000003</v>
      </c>
      <c r="O10" s="84">
        <f>IF(O4*$H$23&lt;$H$22,$H$22,O4*$H$23)</f>
        <v>264600</v>
      </c>
      <c r="P10" s="84">
        <f>IF(P4*$H$23&lt;$H$22,$H$22,P4*$H$23)</f>
        <v>264600</v>
      </c>
      <c r="Q10" s="84">
        <f>IF(Q4*$H$23&lt;$H$22,$H$22,Q4*$H$23)</f>
        <v>264600</v>
      </c>
      <c r="R10" s="84">
        <f>IF(R4*$H$23&lt;$H$22,$H$22,R4*$H$23)</f>
        <v>264600</v>
      </c>
      <c r="S10" s="84">
        <f>IF(S4*$H$23&lt;$H$22,$H$22,S4*$H$23)</f>
        <v>264600</v>
      </c>
      <c r="T10" s="84">
        <f>IF(T4*$H$23&lt;$H$22,$H$22,T4*$H$23)</f>
        <v>264600</v>
      </c>
      <c r="U10" s="84">
        <f>IF(U4*$H$23&lt;$H$22,$H$22,U4*$H$23)</f>
        <v>264600</v>
      </c>
      <c r="V10" s="84">
        <f>IF(V4*$H$23&lt;$H$22,$H$22,V4*$H$23)</f>
        <v>264600</v>
      </c>
      <c r="W10" s="84">
        <f>IF(W4*$H$23&lt;$H$22,$H$22,W4*$H$23)</f>
        <v>264600</v>
      </c>
      <c r="X10" s="84">
        <f>IF(X4*$H$23&lt;$H$22,$H$22,X4*$H$23)</f>
        <v>264600</v>
      </c>
      <c r="Y10" s="84">
        <f>IF(Y4*$H$23&lt;$H$22,$H$22,Y4*$H$23)</f>
        <v>264600</v>
      </c>
      <c r="Z10" s="84">
        <f>IF(Z4*$H$23&lt;$H$22,$H$22,Z4*$H$23)</f>
        <v>264600</v>
      </c>
      <c r="AA10" s="84">
        <f>IF(AA4*$H$23&lt;$H$22,$H$22,AA4*$H$23)</f>
        <v>264600</v>
      </c>
      <c r="AB10" s="85">
        <f t="shared" ref="AB10:AB13" si="6">SUM(D10:O10)</f>
        <v>2127800</v>
      </c>
      <c r="AC10" s="85">
        <f t="shared" si="5"/>
        <v>3175200</v>
      </c>
    </row>
    <row r="11" spans="1:30" s="81" customFormat="1" ht="16.95" customHeight="1" x14ac:dyDescent="0.3">
      <c r="B11" s="116" t="s">
        <v>97</v>
      </c>
      <c r="C11" s="91"/>
      <c r="D11" s="84">
        <f t="shared" ref="D11:AA11" si="7">$L$23</f>
        <v>170000</v>
      </c>
      <c r="E11" s="84">
        <f t="shared" si="7"/>
        <v>170000</v>
      </c>
      <c r="F11" s="84">
        <f t="shared" si="7"/>
        <v>170000</v>
      </c>
      <c r="G11" s="84">
        <f t="shared" si="7"/>
        <v>170000</v>
      </c>
      <c r="H11" s="84">
        <f t="shared" si="7"/>
        <v>170000</v>
      </c>
      <c r="I11" s="84">
        <f t="shared" si="7"/>
        <v>170000</v>
      </c>
      <c r="J11" s="84">
        <f t="shared" si="7"/>
        <v>170000</v>
      </c>
      <c r="K11" s="84">
        <f t="shared" si="7"/>
        <v>170000</v>
      </c>
      <c r="L11" s="84">
        <f t="shared" si="7"/>
        <v>170000</v>
      </c>
      <c r="M11" s="84">
        <f t="shared" si="7"/>
        <v>170000</v>
      </c>
      <c r="N11" s="84">
        <f t="shared" si="7"/>
        <v>170000</v>
      </c>
      <c r="O11" s="84">
        <f t="shared" si="7"/>
        <v>170000</v>
      </c>
      <c r="P11" s="84">
        <f t="shared" si="7"/>
        <v>170000</v>
      </c>
      <c r="Q11" s="84">
        <f t="shared" si="7"/>
        <v>170000</v>
      </c>
      <c r="R11" s="84">
        <f t="shared" si="7"/>
        <v>170000</v>
      </c>
      <c r="S11" s="84">
        <f t="shared" si="7"/>
        <v>170000</v>
      </c>
      <c r="T11" s="84">
        <f t="shared" si="7"/>
        <v>170000</v>
      </c>
      <c r="U11" s="84">
        <f t="shared" si="7"/>
        <v>170000</v>
      </c>
      <c r="V11" s="84">
        <f t="shared" si="7"/>
        <v>170000</v>
      </c>
      <c r="W11" s="84">
        <f t="shared" si="7"/>
        <v>170000</v>
      </c>
      <c r="X11" s="84">
        <f t="shared" si="7"/>
        <v>170000</v>
      </c>
      <c r="Y11" s="84">
        <f t="shared" si="7"/>
        <v>170000</v>
      </c>
      <c r="Z11" s="84">
        <f t="shared" si="7"/>
        <v>170000</v>
      </c>
      <c r="AA11" s="84">
        <f t="shared" si="7"/>
        <v>170000</v>
      </c>
      <c r="AB11" s="85">
        <f t="shared" si="6"/>
        <v>2040000</v>
      </c>
      <c r="AC11" s="85">
        <f t="shared" si="5"/>
        <v>2040000</v>
      </c>
    </row>
    <row r="12" spans="1:30" s="81" customFormat="1" ht="16.95" customHeight="1" x14ac:dyDescent="0.3">
      <c r="B12" s="116" t="s">
        <v>107</v>
      </c>
      <c r="C12" s="92"/>
      <c r="D12" s="93">
        <f>IF(D4*$L$25&lt;$L$24,$L$24,$L$25*D4)</f>
        <v>300000</v>
      </c>
      <c r="E12" s="93">
        <f>IF(E4*$L$25&lt;$L$24,$L$24,$L$25*E4)</f>
        <v>300000</v>
      </c>
      <c r="F12" s="93">
        <f>IF(F4*$L$25&lt;$L$24,$L$24,$L$25*F4)</f>
        <v>300000</v>
      </c>
      <c r="G12" s="93">
        <f>IF(G4*$L$25&lt;$L$24,$L$24,$L$25*G4)</f>
        <v>300000</v>
      </c>
      <c r="H12" s="93">
        <f>IF(H4*$L$25&lt;$L$24,$L$24,$L$25*H4)</f>
        <v>300000</v>
      </c>
      <c r="I12" s="93">
        <f>IF(I4*$L$25&lt;$L$24,$L$24,$L$25*I4)</f>
        <v>300000</v>
      </c>
      <c r="J12" s="93">
        <f>IF(J4*$L$25&lt;$L$24,$L$24,$L$25*J4)</f>
        <v>300000</v>
      </c>
      <c r="K12" s="93">
        <f>IF(K4*$L$25&lt;$L$24,$L$24,$L$25*K4)</f>
        <v>300000</v>
      </c>
      <c r="L12" s="93">
        <f>IF(L4*$L$25&lt;$L$24,$L$24,$L$25*L4)</f>
        <v>300000</v>
      </c>
      <c r="M12" s="93">
        <f>IF(M4*$L$25&lt;$L$24,$L$24,$L$25*M4)</f>
        <v>324000</v>
      </c>
      <c r="N12" s="93">
        <f>IF(N4*$L$25&lt;$L$24,$L$24,$L$25*N4)</f>
        <v>351000</v>
      </c>
      <c r="O12" s="93">
        <f>IF(O4*$L$25&lt;$L$24,$L$24,$L$25*O4)</f>
        <v>378000</v>
      </c>
      <c r="P12" s="93">
        <f>IF(P4*$L$25&lt;$L$24,$L$24,$L$25*P4)</f>
        <v>378000</v>
      </c>
      <c r="Q12" s="93">
        <f>IF(Q4*$L$25&lt;$L$24,$L$24,$L$25*Q4)</f>
        <v>378000</v>
      </c>
      <c r="R12" s="93">
        <f>IF(R4*$L$25&lt;$L$24,$L$24,$L$25*R4)</f>
        <v>378000</v>
      </c>
      <c r="S12" s="93">
        <f>IF(S4*$L$25&lt;$L$24,$L$24,$L$25*S4)</f>
        <v>378000</v>
      </c>
      <c r="T12" s="93">
        <f>IF(T4*$L$25&lt;$L$24,$L$24,$L$25*T4)</f>
        <v>378000</v>
      </c>
      <c r="U12" s="93">
        <f>IF(U4*$L$25&lt;$L$24,$L$24,$L$25*U4)</f>
        <v>378000</v>
      </c>
      <c r="V12" s="93">
        <f>IF(V4*$L$25&lt;$L$24,$L$24,$L$25*V4)</f>
        <v>378000</v>
      </c>
      <c r="W12" s="93">
        <f>IF(W4*$L$25&lt;$L$24,$L$24,$L$25*W4)</f>
        <v>378000</v>
      </c>
      <c r="X12" s="93">
        <f>IF(X4*$L$25&lt;$L$24,$L$24,$L$25*X4)</f>
        <v>378000</v>
      </c>
      <c r="Y12" s="93">
        <f>IF(Y4*$L$25&lt;$L$24,$L$24,$L$25*Y4)</f>
        <v>378000</v>
      </c>
      <c r="Z12" s="93">
        <f>IF(Z4*$L$25&lt;$L$24,$L$24,$L$25*Z4)</f>
        <v>378000</v>
      </c>
      <c r="AA12" s="93">
        <f>IF(AA4*$L$25&lt;$L$24,$L$24,$L$25*AA4)</f>
        <v>378000</v>
      </c>
      <c r="AB12" s="94">
        <f t="shared" si="6"/>
        <v>3753000</v>
      </c>
      <c r="AC12" s="94">
        <f t="shared" si="5"/>
        <v>4536000</v>
      </c>
    </row>
    <row r="13" spans="1:30" s="81" customFormat="1" ht="16.95" customHeight="1" thickBot="1" x14ac:dyDescent="0.35">
      <c r="B13" s="115" t="s">
        <v>108</v>
      </c>
      <c r="C13" s="95"/>
      <c r="D13" s="96">
        <f>SUM(D9:D12)</f>
        <v>870000</v>
      </c>
      <c r="E13" s="96">
        <f>SUM(E9:E12)</f>
        <v>870000</v>
      </c>
      <c r="F13" s="96">
        <f>SUM(F9:F12)</f>
        <v>883400</v>
      </c>
      <c r="G13" s="96">
        <f>SUM(G9:G12)</f>
        <v>902300</v>
      </c>
      <c r="H13" s="96">
        <f>SUM(H9:H12)</f>
        <v>940100</v>
      </c>
      <c r="I13" s="96">
        <f>SUM(I9:I12)</f>
        <v>940100</v>
      </c>
      <c r="J13" s="96">
        <f>SUM(J9:J12)</f>
        <v>959000</v>
      </c>
      <c r="K13" s="96">
        <f>SUM(K9:K12)</f>
        <v>977900</v>
      </c>
      <c r="L13" s="96">
        <f>SUM(L9:L12)</f>
        <v>977900</v>
      </c>
      <c r="M13" s="96">
        <f>SUM(M9:M12)</f>
        <v>1020800</v>
      </c>
      <c r="N13" s="96">
        <f>SUM(N9:N12)</f>
        <v>1066700</v>
      </c>
      <c r="O13" s="96">
        <f>SUM(O9:O12)</f>
        <v>1112600</v>
      </c>
      <c r="P13" s="96">
        <f>SUM(P9:P12)</f>
        <v>1112600</v>
      </c>
      <c r="Q13" s="96">
        <f>SUM(Q9:Q12)</f>
        <v>1112600</v>
      </c>
      <c r="R13" s="96">
        <f>SUM(R9:R12)</f>
        <v>1112600</v>
      </c>
      <c r="S13" s="96">
        <f>SUM(S9:S12)</f>
        <v>1112600</v>
      </c>
      <c r="T13" s="96">
        <f>SUM(T9:T12)</f>
        <v>1112600</v>
      </c>
      <c r="U13" s="96">
        <f>SUM(U9:U12)</f>
        <v>1112600</v>
      </c>
      <c r="V13" s="96">
        <f>SUM(V9:V12)</f>
        <v>1112600</v>
      </c>
      <c r="W13" s="96">
        <f>SUM(W9:W12)</f>
        <v>1112600</v>
      </c>
      <c r="X13" s="96">
        <f>SUM(X9:X12)</f>
        <v>1112600</v>
      </c>
      <c r="Y13" s="96">
        <f>SUM(Y9:Y12)</f>
        <v>1112600</v>
      </c>
      <c r="Z13" s="96">
        <f>SUM(Z9:Z12)</f>
        <v>1112600</v>
      </c>
      <c r="AA13" s="96">
        <f>SUM(AA9:AA12)</f>
        <v>1112600</v>
      </c>
      <c r="AB13" s="89">
        <f t="shared" si="6"/>
        <v>11520800</v>
      </c>
      <c r="AC13" s="89">
        <f t="shared" si="5"/>
        <v>13351200</v>
      </c>
    </row>
    <row r="14" spans="1:30" s="81" customFormat="1" ht="16.95" customHeight="1" thickTop="1" x14ac:dyDescent="0.3">
      <c r="B14" s="99" t="s">
        <v>109</v>
      </c>
      <c r="C14" s="91"/>
      <c r="D14" s="93">
        <f>D4-D4/(100%+$L$22)</f>
        <v>255789.4736842105</v>
      </c>
      <c r="E14" s="93">
        <f>E4-E4/(100%+$L$22)</f>
        <v>511578.94736842101</v>
      </c>
      <c r="F14" s="93">
        <f>F4-F4/(100%+$L$22)</f>
        <v>767368.42105263157</v>
      </c>
      <c r="G14" s="93">
        <f>G4-G4/(100%+$L$22)</f>
        <v>895263.15789473674</v>
      </c>
      <c r="H14" s="93">
        <f>H4-H4/(100%+$L$22)</f>
        <v>1151052.6315789474</v>
      </c>
      <c r="I14" s="93">
        <f>I4-I4/(100%+$L$22)</f>
        <v>1151052.6315789474</v>
      </c>
      <c r="J14" s="93">
        <f>J4-J4/(100%+$L$22)</f>
        <v>1278947.3684210526</v>
      </c>
      <c r="K14" s="93">
        <f>K4-K4/(100%+$L$22)</f>
        <v>1406842.1052631577</v>
      </c>
      <c r="L14" s="93">
        <f>L4-L4/(100%+$L$22)</f>
        <v>1406842.1052631577</v>
      </c>
      <c r="M14" s="93">
        <f>M4-M4/(100%+$L$22)</f>
        <v>1534736.8421052631</v>
      </c>
      <c r="N14" s="93">
        <f>N4-N4/(100%+$L$22)</f>
        <v>1662631.5789473683</v>
      </c>
      <c r="O14" s="93">
        <f>O4-O4/(100%+$L$22)</f>
        <v>1790526.3157894735</v>
      </c>
      <c r="P14" s="93">
        <f>P4-P4/(100%+$L$22)</f>
        <v>1790526.3157894735</v>
      </c>
      <c r="Q14" s="93">
        <f>Q4-Q4/(100%+$L$22)</f>
        <v>1790526.3157894735</v>
      </c>
      <c r="R14" s="93">
        <f>R4-R4/(100%+$L$22)</f>
        <v>1790526.3157894735</v>
      </c>
      <c r="S14" s="93">
        <f>S4-S4/(100%+$L$22)</f>
        <v>1790526.3157894735</v>
      </c>
      <c r="T14" s="93">
        <f>T4-T4/(100%+$L$22)</f>
        <v>1790526.3157894735</v>
      </c>
      <c r="U14" s="93">
        <f>U4-U4/(100%+$L$22)</f>
        <v>1790526.3157894735</v>
      </c>
      <c r="V14" s="93">
        <f>V4-V4/(100%+$L$22)</f>
        <v>1790526.3157894735</v>
      </c>
      <c r="W14" s="93">
        <f>W4-W4/(100%+$L$22)</f>
        <v>1790526.3157894735</v>
      </c>
      <c r="X14" s="93">
        <f>X4-X4/(100%+$L$22)</f>
        <v>1790526.3157894735</v>
      </c>
      <c r="Y14" s="93">
        <f>Y4-Y4/(100%+$L$22)</f>
        <v>1790526.3157894735</v>
      </c>
      <c r="Z14" s="93">
        <f>Z4-Z4/(100%+$L$22)</f>
        <v>1790526.3157894735</v>
      </c>
      <c r="AA14" s="93">
        <f>AA4-AA4/(100%+$L$22)</f>
        <v>1790526.3157894735</v>
      </c>
      <c r="AB14" s="94">
        <f>SUM(D14:O14)</f>
        <v>13812631.578947369</v>
      </c>
      <c r="AC14" s="94">
        <f>SUM(P14:AA14)</f>
        <v>21486315.789473683</v>
      </c>
    </row>
    <row r="15" spans="1:30" s="81" customFormat="1" ht="16.95" customHeight="1" x14ac:dyDescent="0.3">
      <c r="B15" s="99" t="s">
        <v>86</v>
      </c>
      <c r="C15" s="91"/>
      <c r="D15" s="84">
        <f t="shared" ref="D15:AA15" si="8">IF((D14-D13)&lt;0,0,(D14-D13)*$H$24)</f>
        <v>0</v>
      </c>
      <c r="E15" s="84">
        <f t="shared" si="8"/>
        <v>0</v>
      </c>
      <c r="F15" s="84">
        <f t="shared" si="8"/>
        <v>0</v>
      </c>
      <c r="G15" s="84">
        <f t="shared" si="8"/>
        <v>0</v>
      </c>
      <c r="H15" s="84">
        <f t="shared" si="8"/>
        <v>31642.89473684211</v>
      </c>
      <c r="I15" s="84">
        <f t="shared" si="8"/>
        <v>31642.89473684211</v>
      </c>
      <c r="J15" s="84">
        <f t="shared" si="8"/>
        <v>47992.105263157886</v>
      </c>
      <c r="K15" s="84">
        <f t="shared" si="8"/>
        <v>64341.315789473658</v>
      </c>
      <c r="L15" s="84">
        <f t="shared" si="8"/>
        <v>64341.315789473658</v>
      </c>
      <c r="M15" s="84">
        <f t="shared" si="8"/>
        <v>77090.526315789466</v>
      </c>
      <c r="N15" s="84">
        <f t="shared" si="8"/>
        <v>89389.736842105238</v>
      </c>
      <c r="O15" s="84">
        <f t="shared" si="8"/>
        <v>101688.94736842102</v>
      </c>
      <c r="P15" s="84">
        <f t="shared" si="8"/>
        <v>101688.94736842102</v>
      </c>
      <c r="Q15" s="84">
        <f t="shared" si="8"/>
        <v>101688.94736842102</v>
      </c>
      <c r="R15" s="84">
        <f t="shared" si="8"/>
        <v>101688.94736842102</v>
      </c>
      <c r="S15" s="84">
        <f t="shared" si="8"/>
        <v>101688.94736842102</v>
      </c>
      <c r="T15" s="84">
        <f t="shared" si="8"/>
        <v>101688.94736842102</v>
      </c>
      <c r="U15" s="84">
        <f t="shared" si="8"/>
        <v>101688.94736842102</v>
      </c>
      <c r="V15" s="84">
        <f t="shared" si="8"/>
        <v>101688.94736842102</v>
      </c>
      <c r="W15" s="84">
        <f t="shared" si="8"/>
        <v>101688.94736842102</v>
      </c>
      <c r="X15" s="84">
        <f t="shared" si="8"/>
        <v>101688.94736842102</v>
      </c>
      <c r="Y15" s="84">
        <f t="shared" si="8"/>
        <v>101688.94736842102</v>
      </c>
      <c r="Z15" s="84">
        <f t="shared" si="8"/>
        <v>101688.94736842102</v>
      </c>
      <c r="AA15" s="84">
        <f t="shared" si="8"/>
        <v>101688.94736842102</v>
      </c>
      <c r="AB15" s="85">
        <f>SUM(D15:O15)</f>
        <v>508129.73684210511</v>
      </c>
      <c r="AC15" s="85">
        <f>SUM(P15:AA15)</f>
        <v>1220267.3684210523</v>
      </c>
    </row>
    <row r="16" spans="1:30" s="81" customFormat="1" ht="16.95" customHeight="1" x14ac:dyDescent="0.3">
      <c r="B16" s="99" t="s">
        <v>110</v>
      </c>
      <c r="C16" s="83"/>
      <c r="D16" s="97">
        <f t="shared" ref="D16:AA16" si="9">D14-D13-D15</f>
        <v>-614210.52631578944</v>
      </c>
      <c r="E16" s="97">
        <f t="shared" si="9"/>
        <v>-358421.05263157899</v>
      </c>
      <c r="F16" s="97">
        <f t="shared" si="9"/>
        <v>-116031.57894736843</v>
      </c>
      <c r="G16" s="97">
        <f t="shared" si="9"/>
        <v>-7036.8421052632621</v>
      </c>
      <c r="H16" s="97">
        <f t="shared" si="9"/>
        <v>179309.73684210531</v>
      </c>
      <c r="I16" s="97">
        <f t="shared" si="9"/>
        <v>179309.73684210531</v>
      </c>
      <c r="J16" s="97">
        <f t="shared" si="9"/>
        <v>271955.26315789472</v>
      </c>
      <c r="K16" s="97">
        <f t="shared" si="9"/>
        <v>364600.7894736841</v>
      </c>
      <c r="L16" s="97">
        <f t="shared" si="9"/>
        <v>364600.7894736841</v>
      </c>
      <c r="M16" s="97">
        <f t="shared" si="9"/>
        <v>436846.31578947371</v>
      </c>
      <c r="N16" s="97">
        <f t="shared" si="9"/>
        <v>506541.84210526309</v>
      </c>
      <c r="O16" s="97">
        <f t="shared" si="9"/>
        <v>576237.36842105247</v>
      </c>
      <c r="P16" s="97">
        <f t="shared" si="9"/>
        <v>576237.36842105247</v>
      </c>
      <c r="Q16" s="97">
        <f t="shared" si="9"/>
        <v>576237.36842105247</v>
      </c>
      <c r="R16" s="97">
        <f t="shared" si="9"/>
        <v>576237.36842105247</v>
      </c>
      <c r="S16" s="97">
        <f t="shared" si="9"/>
        <v>576237.36842105247</v>
      </c>
      <c r="T16" s="97">
        <f t="shared" si="9"/>
        <v>576237.36842105247</v>
      </c>
      <c r="U16" s="97">
        <f t="shared" si="9"/>
        <v>576237.36842105247</v>
      </c>
      <c r="V16" s="97">
        <f t="shared" si="9"/>
        <v>576237.36842105247</v>
      </c>
      <c r="W16" s="97">
        <f t="shared" si="9"/>
        <v>576237.36842105247</v>
      </c>
      <c r="X16" s="97">
        <f t="shared" si="9"/>
        <v>576237.36842105247</v>
      </c>
      <c r="Y16" s="97">
        <f t="shared" si="9"/>
        <v>576237.36842105247</v>
      </c>
      <c r="Z16" s="97">
        <f t="shared" si="9"/>
        <v>576237.36842105247</v>
      </c>
      <c r="AA16" s="97">
        <f t="shared" si="9"/>
        <v>576237.36842105247</v>
      </c>
      <c r="AB16" s="94">
        <f>SUM(D16:O16)</f>
        <v>1783701.8421052629</v>
      </c>
      <c r="AC16" s="94">
        <f>SUM(P16:AA16)</f>
        <v>6914848.4210526301</v>
      </c>
      <c r="AD16" s="125" t="s">
        <v>28</v>
      </c>
    </row>
    <row r="17" spans="2:30" s="81" customFormat="1" ht="16.95" customHeight="1" x14ac:dyDescent="0.3">
      <c r="B17" s="99" t="s">
        <v>116</v>
      </c>
      <c r="C17" s="97"/>
      <c r="D17" s="97">
        <f>D16</f>
        <v>-614210.52631578944</v>
      </c>
      <c r="E17" s="97">
        <f>D17+E16</f>
        <v>-972631.57894736843</v>
      </c>
      <c r="F17" s="97">
        <f t="shared" ref="F17:AA17" si="10">E17+F16</f>
        <v>-1088663.1578947369</v>
      </c>
      <c r="G17" s="97">
        <f t="shared" si="10"/>
        <v>-1095700</v>
      </c>
      <c r="H17" s="97">
        <f t="shared" si="10"/>
        <v>-916390.26315789472</v>
      </c>
      <c r="I17" s="97">
        <f t="shared" si="10"/>
        <v>-737080.52631578944</v>
      </c>
      <c r="J17" s="97">
        <f t="shared" si="10"/>
        <v>-465125.26315789472</v>
      </c>
      <c r="K17" s="97">
        <f t="shared" si="10"/>
        <v>-100524.47368421062</v>
      </c>
      <c r="L17" s="97">
        <f t="shared" si="10"/>
        <v>264076.31578947348</v>
      </c>
      <c r="M17" s="97">
        <f t="shared" si="10"/>
        <v>700922.63157894718</v>
      </c>
      <c r="N17" s="97">
        <f t="shared" si="10"/>
        <v>1207464.4736842103</v>
      </c>
      <c r="O17" s="97">
        <f t="shared" si="10"/>
        <v>1783701.8421052629</v>
      </c>
      <c r="P17" s="97">
        <f t="shared" si="10"/>
        <v>2359939.2105263155</v>
      </c>
      <c r="Q17" s="97">
        <f t="shared" si="10"/>
        <v>2936176.5789473681</v>
      </c>
      <c r="R17" s="97">
        <f t="shared" si="10"/>
        <v>3512413.9473684207</v>
      </c>
      <c r="S17" s="97">
        <f t="shared" si="10"/>
        <v>4088651.3157894732</v>
      </c>
      <c r="T17" s="97">
        <f t="shared" si="10"/>
        <v>4664888.6842105258</v>
      </c>
      <c r="U17" s="97">
        <f t="shared" si="10"/>
        <v>5241126.0526315784</v>
      </c>
      <c r="V17" s="97">
        <f t="shared" si="10"/>
        <v>5817363.421052631</v>
      </c>
      <c r="W17" s="97">
        <f t="shared" si="10"/>
        <v>6393600.7894736836</v>
      </c>
      <c r="X17" s="97">
        <f t="shared" si="10"/>
        <v>6969838.1578947362</v>
      </c>
      <c r="Y17" s="97">
        <f t="shared" si="10"/>
        <v>7546075.5263157887</v>
      </c>
      <c r="Z17" s="97">
        <f t="shared" si="10"/>
        <v>8122312.8947368413</v>
      </c>
      <c r="AA17" s="97">
        <f t="shared" si="10"/>
        <v>8698550.263157893</v>
      </c>
      <c r="AB17" s="94">
        <f>O17</f>
        <v>1783701.8421052629</v>
      </c>
      <c r="AC17" s="94">
        <f>AA17</f>
        <v>8698550.263157893</v>
      </c>
      <c r="AD17" s="126">
        <f>SUM(AB14:AC14)-SUM(AB13:AC13)-SUM(AB15:AC15)</f>
        <v>8698550.2631578911</v>
      </c>
    </row>
    <row r="18" spans="2:30" s="81" customFormat="1" ht="16.95" customHeight="1" x14ac:dyDescent="0.3">
      <c r="B18" s="99" t="s">
        <v>28</v>
      </c>
      <c r="C18" s="97"/>
      <c r="D18" s="97">
        <f>D16-D7</f>
        <v>-642631.57894736843</v>
      </c>
      <c r="E18" s="97">
        <f>D18+E16-E7</f>
        <v>-1057894.7368421054</v>
      </c>
      <c r="F18" s="97">
        <f>E18+F16-F7</f>
        <v>-1259189.4736842106</v>
      </c>
      <c r="G18" s="97">
        <f>F18+G16-G7</f>
        <v>-1365700</v>
      </c>
      <c r="H18" s="97">
        <f>G18+H16-H7</f>
        <v>-1314284.9999999998</v>
      </c>
      <c r="I18" s="97">
        <f>H18+I16-I7</f>
        <v>-1262869.9999999995</v>
      </c>
      <c r="J18" s="97">
        <f>I18+J16-J7</f>
        <v>-1133019.9999999995</v>
      </c>
      <c r="K18" s="97">
        <f>J18+K16-K7</f>
        <v>-924734.99999999977</v>
      </c>
      <c r="L18" s="97">
        <f>K18+L16-L7</f>
        <v>-716450</v>
      </c>
      <c r="M18" s="97">
        <f>L18+M16-M7</f>
        <v>-450130</v>
      </c>
      <c r="N18" s="97">
        <f>M18+N16-N7</f>
        <v>-128325.00000000009</v>
      </c>
      <c r="O18" s="97">
        <f>N18+O16-O7</f>
        <v>248964.99999999971</v>
      </c>
      <c r="P18" s="97">
        <f>O18+P16-P7</f>
        <v>626254.99999999953</v>
      </c>
      <c r="Q18" s="97">
        <f>P18+Q16-Q7</f>
        <v>1003544.9999999995</v>
      </c>
      <c r="R18" s="97">
        <f>Q18+R16-R7</f>
        <v>1380834.9999999995</v>
      </c>
      <c r="S18" s="97">
        <f>R18+S16-S7</f>
        <v>1758124.9999999995</v>
      </c>
      <c r="T18" s="97">
        <f>S18+T16-T7</f>
        <v>2135414.9999999995</v>
      </c>
      <c r="U18" s="97">
        <f>T18+U16-U7</f>
        <v>2512704.9999999995</v>
      </c>
      <c r="V18" s="97">
        <f>U18+V16-V7</f>
        <v>2889994.9999999995</v>
      </c>
      <c r="W18" s="97">
        <f>V18+W16-W7</f>
        <v>3267284.9999999995</v>
      </c>
      <c r="X18" s="97">
        <f>W18+X16-X7</f>
        <v>3644574.9999999995</v>
      </c>
      <c r="Y18" s="97">
        <f>X18+Y16-Y7</f>
        <v>4021864.9999999991</v>
      </c>
      <c r="Z18" s="97">
        <f>Y18+Z16-Z7</f>
        <v>4399154.9999999991</v>
      </c>
      <c r="AA18" s="97">
        <f>Z18+AA16-AA7</f>
        <v>4498550.263157893</v>
      </c>
      <c r="AB18" s="94">
        <f>O18</f>
        <v>248964.99999999971</v>
      </c>
      <c r="AC18" s="94">
        <f>AA18</f>
        <v>4498550.263157893</v>
      </c>
      <c r="AD18" s="126">
        <f>SUM(AB16:AC16)-SUM(AB7:AC7)</f>
        <v>4498550.263157893</v>
      </c>
    </row>
    <row r="19" spans="2:30" ht="15" x14ac:dyDescent="0.2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5"/>
      <c r="AC19" s="75"/>
      <c r="AD19" s="79"/>
    </row>
    <row r="21" spans="2:30" s="98" customFormat="1" ht="15" hidden="1" customHeight="1" outlineLevel="1" x14ac:dyDescent="0.3">
      <c r="B21" s="99" t="s">
        <v>59</v>
      </c>
      <c r="C21" s="100">
        <f>'КАЛЬКУЛЯТОР, САЛОН  ZETTA'!J15</f>
        <v>1000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</row>
    <row r="22" spans="2:30" s="98" customFormat="1" ht="15" hidden="1" customHeight="1" outlineLevel="1" x14ac:dyDescent="0.3">
      <c r="B22" s="99" t="s">
        <v>60</v>
      </c>
      <c r="C22" s="100">
        <v>300</v>
      </c>
      <c r="D22" s="103"/>
      <c r="E22" s="104" t="s">
        <v>95</v>
      </c>
      <c r="F22" s="100">
        <f>'КАЛЬКУЛЯТОР, САЛОН  ZETTA'!C14</f>
        <v>270000</v>
      </c>
      <c r="G22" s="105"/>
      <c r="H22" s="100">
        <f>'КАЛЬКУЛЯТОР, САЛОН  ZETTA'!J8</f>
        <v>100000</v>
      </c>
      <c r="I22" s="106" t="s">
        <v>29</v>
      </c>
      <c r="J22" s="101"/>
      <c r="K22" s="101"/>
      <c r="L22" s="107">
        <f>'КАЛЬКУЛЯТОР, САЛОН  ZETTA'!C13</f>
        <v>0.9</v>
      </c>
      <c r="M22" s="106" t="s">
        <v>30</v>
      </c>
      <c r="N22" s="101"/>
      <c r="O22" s="101"/>
      <c r="P22" s="108"/>
    </row>
    <row r="23" spans="2:30" s="98" customFormat="1" ht="15" hidden="1" customHeight="1" outlineLevel="1" x14ac:dyDescent="0.3">
      <c r="B23" s="99" t="s">
        <v>31</v>
      </c>
      <c r="C23" s="100">
        <f>C21*C22</f>
        <v>300000</v>
      </c>
      <c r="D23" s="103"/>
      <c r="E23" s="144" t="s">
        <v>32</v>
      </c>
      <c r="F23" s="100">
        <f>'КАЛЬКУЛЯТОР, САЛОН  ZETTA'!C3</f>
        <v>14</v>
      </c>
      <c r="G23" s="101"/>
      <c r="H23" s="107">
        <f>'КАЛЬКУЛЯТОР, САЛОН  ZETTA'!J9</f>
        <v>7.0000000000000007E-2</v>
      </c>
      <c r="I23" s="106" t="s">
        <v>33</v>
      </c>
      <c r="J23" s="101"/>
      <c r="K23" s="101"/>
      <c r="L23" s="100">
        <f>'КАЛЬКУЛЯТОР, САЛОН  ZETTA'!J11</f>
        <v>170000</v>
      </c>
      <c r="M23" s="109" t="s">
        <v>93</v>
      </c>
      <c r="N23" s="101"/>
      <c r="O23" s="101"/>
      <c r="P23" s="108"/>
    </row>
    <row r="24" spans="2:30" s="98" customFormat="1" ht="15" hidden="1" customHeight="1" outlineLevel="1" x14ac:dyDescent="0.3">
      <c r="B24" s="99" t="s">
        <v>65</v>
      </c>
      <c r="C24" s="100">
        <f>'КАЛЬКУЛЯТОР, САЛОН  ZETTA'!J4</f>
        <v>4200000</v>
      </c>
      <c r="D24" s="103"/>
      <c r="E24" s="104" t="s">
        <v>87</v>
      </c>
      <c r="F24" s="100">
        <f>$F$22*F23</f>
        <v>3780000</v>
      </c>
      <c r="G24" s="103"/>
      <c r="H24" s="107">
        <f>'КАЛЬКУЛЯТОР, САЛОН  ZETTA'!C15</f>
        <v>0.15</v>
      </c>
      <c r="I24" s="106" t="s">
        <v>86</v>
      </c>
      <c r="J24" s="101"/>
      <c r="K24" s="101"/>
      <c r="L24" s="100">
        <f>'КАЛЬКУЛЯТОР, САЛОН  ZETTA'!J12</f>
        <v>300000</v>
      </c>
      <c r="M24" s="109" t="s">
        <v>62</v>
      </c>
      <c r="N24" s="101"/>
      <c r="O24" s="101"/>
      <c r="P24" s="110"/>
    </row>
    <row r="25" spans="2:30" s="98" customFormat="1" ht="15" hidden="1" customHeight="1" outlineLevel="1" x14ac:dyDescent="0.3">
      <c r="B25" s="99" t="s">
        <v>66</v>
      </c>
      <c r="C25" s="100">
        <f>'КАЛЬКУЛЯТОР, САЛОН  ZETTA'!J7</f>
        <v>1183000</v>
      </c>
      <c r="D25" s="103"/>
      <c r="E25" s="103"/>
      <c r="F25" s="103"/>
      <c r="G25" s="103"/>
      <c r="H25" s="143">
        <f>'КАЛЬКУЛЯТОР, САЛОН  ZETTA'!H13</f>
        <v>0.1</v>
      </c>
      <c r="I25" s="145" t="s">
        <v>64</v>
      </c>
      <c r="J25" s="101"/>
      <c r="K25" s="101"/>
      <c r="L25" s="107">
        <f>'КАЛЬКУЛЯТОР, САЛОН  ZETTA'!J13</f>
        <v>0.1</v>
      </c>
      <c r="M25" s="109" t="s">
        <v>63</v>
      </c>
      <c r="N25" s="101"/>
      <c r="O25" s="101"/>
      <c r="P25" s="110"/>
    </row>
    <row r="26" spans="2:30" s="98" customFormat="1" ht="15" hidden="1" customHeight="1" outlineLevel="1" x14ac:dyDescent="0.3">
      <c r="B26" s="99" t="s">
        <v>35</v>
      </c>
      <c r="C26" s="143">
        <f>'КАЛЬКУЛЯТОР, САЛОН  ZETTA'!H14</f>
        <v>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30" s="111" customFormat="1" ht="15" hidden="1" customHeight="1" outlineLevel="1" x14ac:dyDescent="0.3">
      <c r="B27" s="99"/>
      <c r="C27" s="112"/>
      <c r="D27" s="113" t="s">
        <v>36</v>
      </c>
      <c r="E27" s="113" t="s">
        <v>37</v>
      </c>
      <c r="F27" s="113" t="s">
        <v>38</v>
      </c>
      <c r="G27" s="113" t="s">
        <v>39</v>
      </c>
      <c r="H27" s="113" t="s">
        <v>40</v>
      </c>
      <c r="I27" s="113" t="s">
        <v>41</v>
      </c>
      <c r="J27" s="113" t="s">
        <v>42</v>
      </c>
      <c r="K27" s="113" t="s">
        <v>43</v>
      </c>
      <c r="L27" s="113" t="s">
        <v>44</v>
      </c>
      <c r="M27" s="113" t="s">
        <v>45</v>
      </c>
      <c r="N27" s="113" t="s">
        <v>46</v>
      </c>
      <c r="O27" s="113" t="s">
        <v>47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2:30" s="98" customFormat="1" ht="15" hidden="1" customHeight="1" outlineLevel="1" x14ac:dyDescent="0.3">
      <c r="B28" s="99" t="s">
        <v>111</v>
      </c>
      <c r="C28" s="101"/>
      <c r="D28" s="107">
        <f>'КАЛЬКУЛЯТОР, САЛОН  ZETTA'!C18</f>
        <v>0.2</v>
      </c>
      <c r="E28" s="107">
        <f>'КАЛЬКУЛЯТОР, САЛОН  ZETTA'!D18</f>
        <v>0.35</v>
      </c>
      <c r="F28" s="107">
        <f>'КАЛЬКУЛЯТОР, САЛОН  ZETTA'!E18</f>
        <v>0.45</v>
      </c>
      <c r="G28" s="107">
        <f>'КАЛЬКУЛЯТОР, САЛОН  ZETTA'!F18</f>
        <v>0.55000000000000004</v>
      </c>
      <c r="H28" s="107">
        <f>'КАЛЬКУЛЯТОР, САЛОН  ZETTA'!G18</f>
        <v>0.65</v>
      </c>
      <c r="I28" s="107">
        <f>'КАЛЬКУЛЯТОР, САЛОН  ZETTA'!H18</f>
        <v>0.7</v>
      </c>
      <c r="J28" s="107">
        <f>'КАЛЬКУЛЯТОР, САЛОН  ZETTA'!I18</f>
        <v>0.75</v>
      </c>
      <c r="K28" s="107">
        <f>'КАЛЬКУЛЯТОР, САЛОН  ZETTA'!J18</f>
        <v>0.8</v>
      </c>
      <c r="L28" s="107">
        <f>'КАЛЬКУЛЯТОР, САЛОН  ZETTA'!K18</f>
        <v>0.85</v>
      </c>
      <c r="M28" s="107">
        <f>'КАЛЬКУЛЯТОР, САЛОН  ZETTA'!L18</f>
        <v>0.9</v>
      </c>
      <c r="N28" s="107">
        <f>'КАЛЬКУЛЯТОР, САЛОН  ZETTA'!M18</f>
        <v>0.95</v>
      </c>
      <c r="O28" s="107">
        <f>'КАЛЬКУЛЯТОР, САЛОН  ZETTA'!N18</f>
        <v>1</v>
      </c>
    </row>
    <row r="29" spans="2:30" hidden="1" outlineLevel="1" x14ac:dyDescent="0.3">
      <c r="B29" s="15"/>
      <c r="C29" s="26">
        <f>SUM(D7:AA7)</f>
        <v>4200000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30" collapsed="1" x14ac:dyDescent="0.3">
      <c r="H30" s="157"/>
    </row>
    <row r="31" spans="2:30" ht="15" x14ac:dyDescent="0.2"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66" spans="2:30" ht="15" x14ac:dyDescent="0.2">
      <c r="C66" s="23"/>
    </row>
    <row r="68" spans="2:30" ht="15" hidden="1" x14ac:dyDescent="0.2">
      <c r="B68" s="15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30" s="5" customFormat="1" ht="16.05" hidden="1" x14ac:dyDescent="0.2">
      <c r="B69" s="17" t="s">
        <v>48</v>
      </c>
      <c r="C69" s="2"/>
      <c r="D69" s="2" t="str">
        <f>D2</f>
        <v>1-й мес</v>
      </c>
      <c r="E69" s="2" t="str">
        <f>E2</f>
        <v>2-й мес</v>
      </c>
      <c r="F69" s="2" t="str">
        <f>F2</f>
        <v>3-й мес</v>
      </c>
      <c r="G69" s="2" t="str">
        <f>G2</f>
        <v>4-й мес</v>
      </c>
      <c r="H69" s="2" t="str">
        <f>H2</f>
        <v>5-й мес</v>
      </c>
      <c r="I69" s="2" t="str">
        <f>I2</f>
        <v>6-й мес</v>
      </c>
      <c r="J69" s="2" t="str">
        <f>J2</f>
        <v>7-й мес</v>
      </c>
      <c r="K69" s="2" t="str">
        <f>K2</f>
        <v>8-й мес</v>
      </c>
      <c r="L69" s="2" t="str">
        <f>L2</f>
        <v>9-й мес</v>
      </c>
      <c r="M69" s="2" t="str">
        <f>M2</f>
        <v>10-й мес</v>
      </c>
      <c r="N69" s="2" t="str">
        <f>N2</f>
        <v>11-й мес</v>
      </c>
      <c r="O69" s="2" t="str">
        <f>O2</f>
        <v>12-й мес</v>
      </c>
      <c r="P69" s="2" t="str">
        <f>P2</f>
        <v>13-й мес</v>
      </c>
      <c r="Q69" s="2" t="str">
        <f>Q2</f>
        <v>14-й мес</v>
      </c>
      <c r="R69" s="2" t="str">
        <f>R2</f>
        <v>15-й мес</v>
      </c>
      <c r="S69" s="2" t="str">
        <f>S2</f>
        <v>16-й мес</v>
      </c>
      <c r="T69" s="2" t="str">
        <f>T2</f>
        <v>17-й мес</v>
      </c>
      <c r="U69" s="2" t="str">
        <f>U2</f>
        <v>18-й мес</v>
      </c>
      <c r="V69" s="2" t="str">
        <f>V2</f>
        <v>19-й мес</v>
      </c>
      <c r="W69" s="2" t="str">
        <f>W2</f>
        <v>20-й мес</v>
      </c>
      <c r="X69" s="2" t="str">
        <f>X2</f>
        <v>21-й мес</v>
      </c>
      <c r="Y69" s="2" t="str">
        <f>Y2</f>
        <v>22-й мес</v>
      </c>
      <c r="Z69" s="2" t="str">
        <f>Z2</f>
        <v>23-й мес</v>
      </c>
      <c r="AA69" s="2" t="str">
        <f>AA2</f>
        <v>24-й мес</v>
      </c>
      <c r="AB69" s="3" t="s">
        <v>49</v>
      </c>
      <c r="AC69" s="4" t="s">
        <v>50</v>
      </c>
      <c r="AD69" s="3" t="s">
        <v>51</v>
      </c>
    </row>
    <row r="70" spans="2:30" ht="15" hidden="1" x14ac:dyDescent="0.2">
      <c r="B70" s="18" t="s">
        <v>52</v>
      </c>
      <c r="C70" s="19"/>
      <c r="D70" s="20">
        <f>D4-D14</f>
        <v>284210.5263157895</v>
      </c>
      <c r="E70" s="20">
        <f>E4-E14</f>
        <v>568421.05263157899</v>
      </c>
      <c r="F70" s="20">
        <f>F4-F14</f>
        <v>852631.57894736843</v>
      </c>
      <c r="G70" s="20">
        <f>G4-G14</f>
        <v>994736.84210526326</v>
      </c>
      <c r="H70" s="20">
        <f>H4-H14</f>
        <v>1278947.3684210526</v>
      </c>
      <c r="I70" s="20">
        <f>I4-I14</f>
        <v>1278947.3684210526</v>
      </c>
      <c r="J70" s="20">
        <f>J4-J14</f>
        <v>1421052.6315789474</v>
      </c>
      <c r="K70" s="20">
        <f>K4-K14</f>
        <v>1563157.8947368423</v>
      </c>
      <c r="L70" s="20">
        <f>L4-L14</f>
        <v>1563157.8947368423</v>
      </c>
      <c r="M70" s="20">
        <f>M4-M14</f>
        <v>1705263.1578947369</v>
      </c>
      <c r="N70" s="20">
        <f>N4-N14</f>
        <v>1847368.4210526317</v>
      </c>
      <c r="O70" s="20">
        <f>O4-O14</f>
        <v>1989473.6842105265</v>
      </c>
      <c r="P70" s="20">
        <f>P4-P14</f>
        <v>1989473.6842105265</v>
      </c>
      <c r="Q70" s="20">
        <f>Q4-Q14</f>
        <v>1989473.6842105265</v>
      </c>
      <c r="R70" s="20">
        <f>R4-R14</f>
        <v>1989473.6842105265</v>
      </c>
      <c r="S70" s="20">
        <f>S4-S14</f>
        <v>1989473.6842105265</v>
      </c>
      <c r="T70" s="20">
        <f>T4-T14</f>
        <v>1989473.6842105265</v>
      </c>
      <c r="U70" s="20">
        <f>U4-U14</f>
        <v>1989473.6842105265</v>
      </c>
      <c r="V70" s="20">
        <f>V4-V14</f>
        <v>1989473.6842105265</v>
      </c>
      <c r="W70" s="20">
        <f>W4-W14</f>
        <v>1989473.6842105265</v>
      </c>
      <c r="X70" s="20">
        <f>X4-X14</f>
        <v>1989473.6842105265</v>
      </c>
      <c r="Y70" s="20">
        <f>Y4-Y14</f>
        <v>1989473.6842105265</v>
      </c>
      <c r="Z70" s="20">
        <f>Z4-Z14</f>
        <v>1989473.6842105265</v>
      </c>
      <c r="AA70" s="20">
        <f>AA4-AA14</f>
        <v>1989473.6842105265</v>
      </c>
      <c r="AB70" s="20">
        <f>SUM(D70:O70)</f>
        <v>15347368.421052631</v>
      </c>
      <c r="AC70" s="20">
        <f>SUM(P70:AA70)</f>
        <v>23873684.210526321</v>
      </c>
      <c r="AD70" s="20" t="e">
        <f>SUM(#REF!)</f>
        <v>#REF!</v>
      </c>
    </row>
    <row r="71" spans="2:30" ht="15" hidden="1" x14ac:dyDescent="0.2">
      <c r="B71" s="18" t="s">
        <v>53</v>
      </c>
      <c r="C71" s="19"/>
      <c r="D71" s="20">
        <f t="shared" ref="D71:AA71" si="11">D70-D70/(100%+$B$82)</f>
        <v>37070.938215102971</v>
      </c>
      <c r="E71" s="20">
        <f t="shared" si="11"/>
        <v>74141.876430205943</v>
      </c>
      <c r="F71" s="20">
        <f t="shared" si="11"/>
        <v>111212.81464530888</v>
      </c>
      <c r="G71" s="20">
        <f t="shared" si="11"/>
        <v>129748.28375286038</v>
      </c>
      <c r="H71" s="20">
        <f t="shared" si="11"/>
        <v>166819.22196796327</v>
      </c>
      <c r="I71" s="20">
        <f t="shared" si="11"/>
        <v>166819.22196796327</v>
      </c>
      <c r="J71" s="20">
        <f t="shared" si="11"/>
        <v>185354.69107551477</v>
      </c>
      <c r="K71" s="20">
        <f t="shared" si="11"/>
        <v>203890.16018306627</v>
      </c>
      <c r="L71" s="20">
        <f t="shared" si="11"/>
        <v>203890.16018306627</v>
      </c>
      <c r="M71" s="20">
        <f t="shared" si="11"/>
        <v>222425.62929061777</v>
      </c>
      <c r="N71" s="20">
        <f t="shared" si="11"/>
        <v>240961.09839816927</v>
      </c>
      <c r="O71" s="20">
        <f t="shared" si="11"/>
        <v>259496.56750572077</v>
      </c>
      <c r="P71" s="20">
        <f t="shared" si="11"/>
        <v>259496.56750572077</v>
      </c>
      <c r="Q71" s="20">
        <f t="shared" si="11"/>
        <v>259496.56750572077</v>
      </c>
      <c r="R71" s="20">
        <f t="shared" si="11"/>
        <v>259496.56750572077</v>
      </c>
      <c r="S71" s="20">
        <f t="shared" si="11"/>
        <v>259496.56750572077</v>
      </c>
      <c r="T71" s="20">
        <f t="shared" si="11"/>
        <v>259496.56750572077</v>
      </c>
      <c r="U71" s="20">
        <f t="shared" si="11"/>
        <v>259496.56750572077</v>
      </c>
      <c r="V71" s="20">
        <f t="shared" si="11"/>
        <v>259496.56750572077</v>
      </c>
      <c r="W71" s="20">
        <f t="shared" si="11"/>
        <v>259496.56750572077</v>
      </c>
      <c r="X71" s="20">
        <f t="shared" si="11"/>
        <v>259496.56750572077</v>
      </c>
      <c r="Y71" s="20">
        <f t="shared" si="11"/>
        <v>259496.56750572077</v>
      </c>
      <c r="Z71" s="20">
        <f t="shared" si="11"/>
        <v>259496.56750572077</v>
      </c>
      <c r="AA71" s="20">
        <f t="shared" si="11"/>
        <v>259496.56750572077</v>
      </c>
      <c r="AB71" s="20">
        <f>SUM(D71:O71)</f>
        <v>2001830.6636155597</v>
      </c>
      <c r="AC71" s="20">
        <f>SUM(P71:AA71)</f>
        <v>3113958.8100686502</v>
      </c>
      <c r="AD71" s="20" t="e">
        <f>SUM(#REF!)</f>
        <v>#REF!</v>
      </c>
    </row>
    <row r="72" spans="2:30" ht="15" hidden="1" x14ac:dyDescent="0.2">
      <c r="B72" s="18"/>
      <c r="C72" s="19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2:30" ht="15" hidden="1" x14ac:dyDescent="0.2">
      <c r="B73" s="18" t="s">
        <v>54</v>
      </c>
      <c r="C73" s="19"/>
      <c r="D73" s="20">
        <f>D71</f>
        <v>37070.938215102971</v>
      </c>
      <c r="E73" s="20">
        <f t="shared" ref="E73:AA73" si="12">D73+E71</f>
        <v>111212.81464530891</v>
      </c>
      <c r="F73" s="20">
        <f t="shared" si="12"/>
        <v>222425.6292906178</v>
      </c>
      <c r="G73" s="20">
        <f t="shared" si="12"/>
        <v>352173.91304347815</v>
      </c>
      <c r="H73" s="20">
        <f t="shared" si="12"/>
        <v>518993.13501144142</v>
      </c>
      <c r="I73" s="20">
        <f t="shared" si="12"/>
        <v>685812.35697940469</v>
      </c>
      <c r="J73" s="20">
        <f t="shared" si="12"/>
        <v>871167.04805491946</v>
      </c>
      <c r="K73" s="20">
        <f t="shared" si="12"/>
        <v>1075057.2082379856</v>
      </c>
      <c r="L73" s="20">
        <f t="shared" si="12"/>
        <v>1278947.3684210519</v>
      </c>
      <c r="M73" s="20">
        <f t="shared" si="12"/>
        <v>1501372.9977116697</v>
      </c>
      <c r="N73" s="20">
        <f t="shared" si="12"/>
        <v>1742334.0961098389</v>
      </c>
      <c r="O73" s="20">
        <f t="shared" si="12"/>
        <v>2001830.6636155597</v>
      </c>
      <c r="P73" s="20">
        <f>O73+P71</f>
        <v>2261327.2311212802</v>
      </c>
      <c r="Q73" s="20">
        <f t="shared" si="12"/>
        <v>2520823.7986270012</v>
      </c>
      <c r="R73" s="20">
        <f t="shared" si="12"/>
        <v>2780320.3661327222</v>
      </c>
      <c r="S73" s="20">
        <f t="shared" si="12"/>
        <v>3039816.9336384432</v>
      </c>
      <c r="T73" s="20">
        <f t="shared" si="12"/>
        <v>3299313.5011441642</v>
      </c>
      <c r="U73" s="20">
        <f t="shared" si="12"/>
        <v>3558810.0686498852</v>
      </c>
      <c r="V73" s="20">
        <f t="shared" si="12"/>
        <v>3818306.6361556062</v>
      </c>
      <c r="W73" s="20">
        <f t="shared" si="12"/>
        <v>4077803.2036613273</v>
      </c>
      <c r="X73" s="20">
        <f t="shared" si="12"/>
        <v>4337299.7711670483</v>
      </c>
      <c r="Y73" s="20">
        <f t="shared" si="12"/>
        <v>4596796.3386727693</v>
      </c>
      <c r="Z73" s="20">
        <f t="shared" si="12"/>
        <v>4856292.9061784903</v>
      </c>
      <c r="AA73" s="20">
        <f t="shared" si="12"/>
        <v>5115789.4736842113</v>
      </c>
      <c r="AB73" s="20"/>
      <c r="AC73" s="20"/>
      <c r="AD73" s="20"/>
    </row>
    <row r="74" spans="2:30" ht="16.05" hidden="1" thickBot="1" x14ac:dyDescent="0.2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</row>
    <row r="75" spans="2:30" ht="15" hidden="1" x14ac:dyDescent="0.2"/>
    <row r="76" spans="2:30" ht="16.05" hidden="1" x14ac:dyDescent="0.2">
      <c r="B76" s="6" t="s">
        <v>55</v>
      </c>
      <c r="D76" s="11">
        <f t="shared" ref="D76:AA76" si="13">(D70-D71)*$B$82</f>
        <v>37070.938215102979</v>
      </c>
      <c r="E76" s="11">
        <f t="shared" si="13"/>
        <v>74141.876430205957</v>
      </c>
      <c r="F76" s="11">
        <f t="shared" si="13"/>
        <v>111212.81464530893</v>
      </c>
      <c r="G76" s="11">
        <f t="shared" si="13"/>
        <v>129748.28375286043</v>
      </c>
      <c r="H76" s="11">
        <f t="shared" si="13"/>
        <v>166819.22196796339</v>
      </c>
      <c r="I76" s="11">
        <f t="shared" si="13"/>
        <v>166819.22196796339</v>
      </c>
      <c r="J76" s="11">
        <f t="shared" si="13"/>
        <v>185354.69107551489</v>
      </c>
      <c r="K76" s="11">
        <f t="shared" si="13"/>
        <v>203890.16018306639</v>
      </c>
      <c r="L76" s="11">
        <f t="shared" si="13"/>
        <v>203890.16018306639</v>
      </c>
      <c r="M76" s="11">
        <f t="shared" si="13"/>
        <v>222425.62929061786</v>
      </c>
      <c r="N76" s="11">
        <f t="shared" si="13"/>
        <v>240961.09839816936</v>
      </c>
      <c r="O76" s="11">
        <f t="shared" si="13"/>
        <v>259496.56750572086</v>
      </c>
      <c r="P76" s="11">
        <f t="shared" si="13"/>
        <v>259496.56750572086</v>
      </c>
      <c r="Q76" s="11">
        <f t="shared" si="13"/>
        <v>259496.56750572086</v>
      </c>
      <c r="R76" s="11">
        <f t="shared" si="13"/>
        <v>259496.56750572086</v>
      </c>
      <c r="S76" s="11">
        <f t="shared" si="13"/>
        <v>259496.56750572086</v>
      </c>
      <c r="T76" s="11">
        <f t="shared" si="13"/>
        <v>259496.56750572086</v>
      </c>
      <c r="U76" s="11">
        <f t="shared" si="13"/>
        <v>259496.56750572086</v>
      </c>
      <c r="V76" s="11">
        <f t="shared" si="13"/>
        <v>259496.56750572086</v>
      </c>
      <c r="W76" s="11">
        <f t="shared" si="13"/>
        <v>259496.56750572086</v>
      </c>
      <c r="X76" s="11">
        <f t="shared" si="13"/>
        <v>259496.56750572086</v>
      </c>
      <c r="Y76" s="11">
        <f t="shared" si="13"/>
        <v>259496.56750572086</v>
      </c>
      <c r="Z76" s="11">
        <f t="shared" si="13"/>
        <v>259496.56750572086</v>
      </c>
      <c r="AA76" s="11">
        <f t="shared" si="13"/>
        <v>259496.56750572086</v>
      </c>
      <c r="AB76" s="21" t="s">
        <v>28</v>
      </c>
    </row>
    <row r="77" spans="2:30" ht="16.05" hidden="1" x14ac:dyDescent="0.2">
      <c r="B77" s="6" t="s">
        <v>56</v>
      </c>
      <c r="C77" s="7"/>
      <c r="D77" s="9">
        <f>D4</f>
        <v>540000</v>
      </c>
      <c r="E77" s="8">
        <f>D4+E4</f>
        <v>1620000</v>
      </c>
      <c r="F77" s="8">
        <f>E77+F4</f>
        <v>3240000</v>
      </c>
      <c r="G77" s="8">
        <f>F77+G4</f>
        <v>5130000</v>
      </c>
      <c r="H77" s="8">
        <f>G77+H4</f>
        <v>7560000</v>
      </c>
      <c r="I77" s="8">
        <f>H77+I4</f>
        <v>9990000</v>
      </c>
      <c r="J77" s="8">
        <f>I77+J4</f>
        <v>12690000</v>
      </c>
      <c r="K77" s="8">
        <f>J77+K4</f>
        <v>15660000</v>
      </c>
      <c r="L77" s="8">
        <f>K77+L4</f>
        <v>18630000</v>
      </c>
      <c r="M77" s="8">
        <f>L77+M4</f>
        <v>21870000</v>
      </c>
      <c r="N77" s="8">
        <f>M77+N4</f>
        <v>25380000</v>
      </c>
      <c r="O77" s="8">
        <f>N77+O4</f>
        <v>29160000</v>
      </c>
      <c r="P77" s="8">
        <f>O77+P4</f>
        <v>32940000</v>
      </c>
      <c r="Q77" s="8">
        <f>P77+Q4</f>
        <v>36720000</v>
      </c>
      <c r="R77" s="8">
        <f>Q77+R4</f>
        <v>40500000</v>
      </c>
      <c r="S77" s="8">
        <f>R77+S4</f>
        <v>44280000</v>
      </c>
      <c r="T77" s="8">
        <f>S77+T4</f>
        <v>48060000</v>
      </c>
      <c r="U77" s="8">
        <f>T77+U4</f>
        <v>51840000</v>
      </c>
      <c r="V77" s="8">
        <f>U77+V4</f>
        <v>55620000</v>
      </c>
      <c r="W77" s="8">
        <f>V77+W4</f>
        <v>59400000</v>
      </c>
      <c r="X77" s="8">
        <f>W77+X4</f>
        <v>63180000</v>
      </c>
      <c r="Y77" s="8">
        <f>X77+Y4</f>
        <v>66960000</v>
      </c>
      <c r="Z77" s="8">
        <f>Y77+Z4</f>
        <v>70740000</v>
      </c>
      <c r="AA77" s="8">
        <f>Z77+AA4</f>
        <v>74520000</v>
      </c>
      <c r="AB77" s="22">
        <f>SUM(AB4:AD4)</f>
        <v>74520000</v>
      </c>
      <c r="AC77" s="9"/>
      <c r="AD77" s="9"/>
    </row>
    <row r="78" spans="2:30" ht="16.05" hidden="1" x14ac:dyDescent="0.2">
      <c r="B78" s="6" t="s">
        <v>57</v>
      </c>
      <c r="C78" s="10"/>
      <c r="D78" s="8">
        <f>C13+D13</f>
        <v>870000</v>
      </c>
      <c r="E78" s="8">
        <f t="shared" ref="E78:AA78" si="14">D78+E13</f>
        <v>1740000</v>
      </c>
      <c r="F78" s="8">
        <f t="shared" si="14"/>
        <v>2623400</v>
      </c>
      <c r="G78" s="8">
        <f t="shared" si="14"/>
        <v>3525700</v>
      </c>
      <c r="H78" s="8">
        <f t="shared" si="14"/>
        <v>4465800</v>
      </c>
      <c r="I78" s="8">
        <f t="shared" si="14"/>
        <v>5405900</v>
      </c>
      <c r="J78" s="8">
        <f t="shared" si="14"/>
        <v>6364900</v>
      </c>
      <c r="K78" s="8">
        <f t="shared" si="14"/>
        <v>7342800</v>
      </c>
      <c r="L78" s="8">
        <f t="shared" si="14"/>
        <v>8320700</v>
      </c>
      <c r="M78" s="8">
        <f t="shared" si="14"/>
        <v>9341500</v>
      </c>
      <c r="N78" s="8">
        <f t="shared" si="14"/>
        <v>10408200</v>
      </c>
      <c r="O78" s="8">
        <f t="shared" si="14"/>
        <v>11520800</v>
      </c>
      <c r="P78" s="8">
        <f t="shared" si="14"/>
        <v>12633400</v>
      </c>
      <c r="Q78" s="8">
        <f t="shared" si="14"/>
        <v>13746000</v>
      </c>
      <c r="R78" s="8">
        <f t="shared" si="14"/>
        <v>14858600</v>
      </c>
      <c r="S78" s="8">
        <f t="shared" si="14"/>
        <v>15971200</v>
      </c>
      <c r="T78" s="8">
        <f t="shared" si="14"/>
        <v>17083800</v>
      </c>
      <c r="U78" s="8">
        <f t="shared" si="14"/>
        <v>18196400</v>
      </c>
      <c r="V78" s="8">
        <f t="shared" si="14"/>
        <v>19309000</v>
      </c>
      <c r="W78" s="8">
        <f t="shared" si="14"/>
        <v>20421600</v>
      </c>
      <c r="X78" s="8">
        <f t="shared" si="14"/>
        <v>21534200</v>
      </c>
      <c r="Y78" s="8">
        <f t="shared" si="14"/>
        <v>22646800</v>
      </c>
      <c r="Z78" s="8">
        <f t="shared" si="14"/>
        <v>23759400</v>
      </c>
      <c r="AA78" s="8">
        <f t="shared" si="14"/>
        <v>24872000</v>
      </c>
      <c r="AB78" s="22">
        <f>SUM(AB14:AD14)</f>
        <v>35298947.368421048</v>
      </c>
      <c r="AC78" s="9"/>
      <c r="AD78" s="9"/>
    </row>
    <row r="79" spans="2:30" ht="16.05" hidden="1" x14ac:dyDescent="0.2">
      <c r="B79" s="6" t="s">
        <v>58</v>
      </c>
      <c r="C79" s="7"/>
      <c r="D79" s="11">
        <f>D14</f>
        <v>255789.4736842105</v>
      </c>
      <c r="E79" s="11">
        <f t="shared" ref="E79:AA79" si="15">E77-E77/(100%+$L$22)</f>
        <v>767368.42105263157</v>
      </c>
      <c r="F79" s="11">
        <f t="shared" si="15"/>
        <v>1534736.8421052631</v>
      </c>
      <c r="G79" s="11">
        <f t="shared" si="15"/>
        <v>2430000</v>
      </c>
      <c r="H79" s="11">
        <f t="shared" si="15"/>
        <v>3581052.631578947</v>
      </c>
      <c r="I79" s="11">
        <f t="shared" si="15"/>
        <v>4732105.2631578948</v>
      </c>
      <c r="J79" s="11">
        <f t="shared" si="15"/>
        <v>6011052.6315789474</v>
      </c>
      <c r="K79" s="11">
        <f t="shared" si="15"/>
        <v>7417894.7368421052</v>
      </c>
      <c r="L79" s="11">
        <f t="shared" si="15"/>
        <v>8824736.842105262</v>
      </c>
      <c r="M79" s="11">
        <f t="shared" si="15"/>
        <v>10359473.684210526</v>
      </c>
      <c r="N79" s="11">
        <f t="shared" si="15"/>
        <v>12022105.263157895</v>
      </c>
      <c r="O79" s="11">
        <f t="shared" si="15"/>
        <v>13812631.578947367</v>
      </c>
      <c r="P79" s="11">
        <f t="shared" si="15"/>
        <v>15603157.894736841</v>
      </c>
      <c r="Q79" s="11">
        <f t="shared" si="15"/>
        <v>17393684.210526314</v>
      </c>
      <c r="R79" s="11">
        <f t="shared" si="15"/>
        <v>19184210.52631579</v>
      </c>
      <c r="S79" s="11">
        <f t="shared" si="15"/>
        <v>20974736.842105262</v>
      </c>
      <c r="T79" s="11">
        <f t="shared" si="15"/>
        <v>22765263.157894734</v>
      </c>
      <c r="U79" s="11">
        <f t="shared" si="15"/>
        <v>24555789.47368421</v>
      </c>
      <c r="V79" s="11">
        <f t="shared" si="15"/>
        <v>26346315.789473683</v>
      </c>
      <c r="W79" s="11">
        <f t="shared" si="15"/>
        <v>28136842.105263155</v>
      </c>
      <c r="X79" s="11">
        <f t="shared" si="15"/>
        <v>29927368.421052631</v>
      </c>
      <c r="Y79" s="11">
        <f t="shared" si="15"/>
        <v>31717894.736842103</v>
      </c>
      <c r="Z79" s="11">
        <f t="shared" si="15"/>
        <v>33508421.052631579</v>
      </c>
      <c r="AA79" s="11">
        <f t="shared" si="15"/>
        <v>35298947.368421048</v>
      </c>
      <c r="AB79" s="22">
        <f>SUM(AB14:AD14)</f>
        <v>35298947.368421048</v>
      </c>
      <c r="AC79" s="9"/>
      <c r="AD79" s="9"/>
    </row>
    <row r="80" spans="2:30" ht="15" hidden="1" x14ac:dyDescent="0.2"/>
    <row r="81" spans="2:3" ht="15" hidden="1" x14ac:dyDescent="0.2"/>
    <row r="82" spans="2:3" ht="15" hidden="1" x14ac:dyDescent="0.2">
      <c r="B82" s="24">
        <v>0.15</v>
      </c>
      <c r="C82" s="13" t="s">
        <v>34</v>
      </c>
    </row>
    <row r="83" spans="2:3" ht="15" hidden="1" x14ac:dyDescent="0.2"/>
    <row r="84" spans="2:3" ht="15" hidden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zoomScaleNormal="100" zoomScalePageLayoutView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17" sqref="AA17"/>
    </sheetView>
  </sheetViews>
  <sheetFormatPr defaultColWidth="8.6640625" defaultRowHeight="14.4" outlineLevelRow="1" x14ac:dyDescent="0.3"/>
  <cols>
    <col min="1" max="1" width="0.44140625" style="1" customWidth="1"/>
    <col min="2" max="2" width="45.77734375" style="1" customWidth="1"/>
    <col min="3" max="3" width="15.109375" style="1" customWidth="1"/>
    <col min="4" max="27" width="12.6640625" style="1" customWidth="1"/>
    <col min="28" max="30" width="14.6640625" style="1" customWidth="1"/>
    <col min="31" max="16384" width="8.6640625" style="1"/>
  </cols>
  <sheetData>
    <row r="1" spans="1:30" ht="1.95" customHeight="1" x14ac:dyDescent="0.2"/>
    <row r="2" spans="1:30" s="50" customFormat="1" ht="16.95" customHeight="1" x14ac:dyDescent="0.3">
      <c r="B2" s="120" t="s">
        <v>0</v>
      </c>
      <c r="C2" s="2" t="s">
        <v>61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3" t="s">
        <v>25</v>
      </c>
      <c r="AC2" s="4" t="s">
        <v>26</v>
      </c>
    </row>
    <row r="3" spans="1:30" ht="16.95" customHeight="1" x14ac:dyDescent="0.2"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9"/>
    </row>
    <row r="4" spans="1:30" s="81" customFormat="1" ht="16.95" customHeight="1" x14ac:dyDescent="0.3">
      <c r="B4" s="99" t="s">
        <v>103</v>
      </c>
      <c r="C4" s="83"/>
      <c r="D4" s="84">
        <f>D5*$F$22</f>
        <v>810000</v>
      </c>
      <c r="E4" s="84">
        <f>E5*$F$22</f>
        <v>1620000</v>
      </c>
      <c r="F4" s="84">
        <f>F5*$F$22</f>
        <v>2160000</v>
      </c>
      <c r="G4" s="84">
        <f>G5*$F$22</f>
        <v>2700000</v>
      </c>
      <c r="H4" s="84">
        <f>H5*$F$22</f>
        <v>3240000</v>
      </c>
      <c r="I4" s="84">
        <f>I5*$F$22</f>
        <v>3510000</v>
      </c>
      <c r="J4" s="84">
        <f>J5*$F$22</f>
        <v>3780000</v>
      </c>
      <c r="K4" s="84">
        <f>K5*$F$22</f>
        <v>4050000</v>
      </c>
      <c r="L4" s="84">
        <f>L5*$F$22</f>
        <v>4320000</v>
      </c>
      <c r="M4" s="84">
        <f>M5*$F$22</f>
        <v>4590000</v>
      </c>
      <c r="N4" s="84">
        <f>N5*$F$22</f>
        <v>4860000</v>
      </c>
      <c r="O4" s="84">
        <f>O5*$F$22</f>
        <v>5130000</v>
      </c>
      <c r="P4" s="84">
        <f>P5*$F$22</f>
        <v>5130000</v>
      </c>
      <c r="Q4" s="84">
        <f>Q5*$F$22</f>
        <v>5130000</v>
      </c>
      <c r="R4" s="84">
        <f>R5*$F$22</f>
        <v>5130000</v>
      </c>
      <c r="S4" s="84">
        <f>S5*$F$22</f>
        <v>5130000</v>
      </c>
      <c r="T4" s="84">
        <f>T5*$F$22</f>
        <v>5130000</v>
      </c>
      <c r="U4" s="84">
        <f>U5*$F$22</f>
        <v>5130000</v>
      </c>
      <c r="V4" s="84">
        <f>V5*$F$22</f>
        <v>5130000</v>
      </c>
      <c r="W4" s="84">
        <f>W5*$F$22</f>
        <v>5130000</v>
      </c>
      <c r="X4" s="84">
        <f>X5*$F$22</f>
        <v>5130000</v>
      </c>
      <c r="Y4" s="84">
        <f>Y5*$F$22</f>
        <v>5130000</v>
      </c>
      <c r="Z4" s="84">
        <f>Z5*$F$22</f>
        <v>5130000</v>
      </c>
      <c r="AA4" s="84">
        <f>AA5*$F$22</f>
        <v>5130000</v>
      </c>
      <c r="AB4" s="85">
        <f>SUM(D4:O4)</f>
        <v>40770000</v>
      </c>
      <c r="AC4" s="85">
        <f>SUM(P4:AA4)</f>
        <v>61560000</v>
      </c>
    </row>
    <row r="5" spans="1:30" s="81" customFormat="1" ht="16.95" customHeight="1" thickBot="1" x14ac:dyDescent="0.35">
      <c r="A5" s="86"/>
      <c r="B5" s="115" t="s">
        <v>104</v>
      </c>
      <c r="C5" s="87"/>
      <c r="D5" s="88">
        <f t="shared" ref="D5:F5" si="0">ROUNDDOWN($F$23*D28,0)</f>
        <v>3</v>
      </c>
      <c r="E5" s="88">
        <f t="shared" si="0"/>
        <v>6</v>
      </c>
      <c r="F5" s="88">
        <f t="shared" si="0"/>
        <v>8</v>
      </c>
      <c r="G5" s="88">
        <f>ROUNDDOWN($F$23*G28,0)</f>
        <v>10</v>
      </c>
      <c r="H5" s="88">
        <f>ROUNDDOWN($F$23*H28,0)</f>
        <v>12</v>
      </c>
      <c r="I5" s="88">
        <f>ROUNDDOWN($F$23*I28,0)</f>
        <v>13</v>
      </c>
      <c r="J5" s="88">
        <f t="shared" ref="J5:P5" si="1">ROUNDDOWN($F$23*J28,0)</f>
        <v>14</v>
      </c>
      <c r="K5" s="88">
        <f t="shared" si="1"/>
        <v>15</v>
      </c>
      <c r="L5" s="88">
        <f t="shared" si="1"/>
        <v>16</v>
      </c>
      <c r="M5" s="88">
        <f t="shared" si="1"/>
        <v>17</v>
      </c>
      <c r="N5" s="88">
        <f t="shared" si="1"/>
        <v>18</v>
      </c>
      <c r="O5" s="88">
        <f t="shared" si="1"/>
        <v>19</v>
      </c>
      <c r="P5" s="88">
        <f>$O$5</f>
        <v>19</v>
      </c>
      <c r="Q5" s="88">
        <f t="shared" ref="Q5:AA5" si="2">$O$5</f>
        <v>19</v>
      </c>
      <c r="R5" s="88">
        <f t="shared" si="2"/>
        <v>19</v>
      </c>
      <c r="S5" s="88">
        <f t="shared" si="2"/>
        <v>19</v>
      </c>
      <c r="T5" s="88">
        <f t="shared" si="2"/>
        <v>19</v>
      </c>
      <c r="U5" s="88">
        <f t="shared" si="2"/>
        <v>19</v>
      </c>
      <c r="V5" s="88">
        <f t="shared" si="2"/>
        <v>19</v>
      </c>
      <c r="W5" s="88">
        <f t="shared" si="2"/>
        <v>19</v>
      </c>
      <c r="X5" s="88">
        <f t="shared" si="2"/>
        <v>19</v>
      </c>
      <c r="Y5" s="88">
        <f t="shared" si="2"/>
        <v>19</v>
      </c>
      <c r="Z5" s="88">
        <f t="shared" si="2"/>
        <v>19</v>
      </c>
      <c r="AA5" s="88">
        <f t="shared" si="2"/>
        <v>19</v>
      </c>
      <c r="AB5" s="89">
        <f>SUM(D5:O5)</f>
        <v>151</v>
      </c>
      <c r="AC5" s="89">
        <f>SUM(P5:AA5)</f>
        <v>228</v>
      </c>
    </row>
    <row r="6" spans="1:30" s="81" customFormat="1" ht="16.95" customHeight="1" thickTop="1" x14ac:dyDescent="0.3">
      <c r="B6" s="99" t="s">
        <v>105</v>
      </c>
      <c r="C6" s="118">
        <f>C24*C26</f>
        <v>0</v>
      </c>
    </row>
    <row r="7" spans="1:30" s="81" customFormat="1" ht="16.95" customHeight="1" x14ac:dyDescent="0.3">
      <c r="B7" s="99" t="s">
        <v>114</v>
      </c>
      <c r="C7" s="118"/>
      <c r="D7" s="90">
        <f>D4*$H$25*(100%-$C$26)/(100%+$L$22)</f>
        <v>42631.57894736842</v>
      </c>
      <c r="E7" s="90">
        <f>E4*$H$25*(100%-$C$26)/(100%+$L$22)</f>
        <v>85263.15789473684</v>
      </c>
      <c r="F7" s="90">
        <f>IF(SUM(D7:E7)&gt;$C$24*(100%-$C$26),0,IF((SUM(D7:E7)+$H$25*F4/(100%+$L$22))&lt;=$C$24*(100%-$C$26),$H$25*F4/(100%+$L$22),IF((SUM(D7:E7)+$H$25*F4/(100%+$L$22))&gt;$C$24*(100%-$C$26),$C$24*(100%-$C$26)-SUM(D7:E7))))</f>
        <v>113684.2105263158</v>
      </c>
      <c r="G7" s="90">
        <f>IF(SUM(D7:F7)&gt;$C$24*(100%-$C$26),0,IF((SUM(D7:F7)+$H$25*G4/(100%+$L$22))&lt;=$C$24*(100%-$C$26),$H$25*G4/(100%+$L$22),IF((SUM(D7:F7)+$H$25*G4/(100%+$L$22))&gt;$C$24*(100%-$C$26),$C$24*(100%-$C$26)-SUM(D7:F7))))</f>
        <v>142105.26315789475</v>
      </c>
      <c r="H7" s="90">
        <f>IF(SUM(D7:G7)&gt;$C$24*(100%-$C$26),0,IF((SUM(D7:G7)+$H$25*H4/(100%+$L$22))&lt;=$C$24*(100%-$C$26),$H$25*H4/(100%+$L$22),IF((SUM(D7:G7)+$H$25*H4/(100%+$L$22))&gt;$C$24*(100%-$C$26),$C$24*(100%-$C$26)-SUM(D7:G7))))</f>
        <v>170526.31578947368</v>
      </c>
      <c r="I7" s="90">
        <f>IF(SUM(D7:H7)&gt;$C$24*(100%-$C$26),0,IF((SUM(D7:H7)+$H$25*I4/(100%+$L$22))&lt;=$C$24*(100%-$C$26),$H$25*I4/(100%+$L$22),IF((SUM(D7:H7)+$H$25*I4/(100%+$L$22))&gt;$C$24*(100%-$C$26),$C$24*(100%-$C$26)-SUM(D7:H7))))</f>
        <v>184736.84210526317</v>
      </c>
      <c r="J7" s="90">
        <f>IF(SUM(D7:I7)&gt;$C$24*(100%-$C$26),0,IF((SUM(D7:I7)+$H$25*J4/(100%+$L$22))&lt;=$C$24*(100%-$C$26),$H$25*J4/(100%+$L$22),IF((SUM(D7:I7)+$H$25*J4/(100%+$L$22))&gt;$C$24*(100%-$C$26),$C$24*(100%-$C$26)-SUM(D7:I7))))</f>
        <v>198947.36842105264</v>
      </c>
      <c r="K7" s="90">
        <f>IF(SUM(D7:J7)&gt;$C$24*(100%-$C$26),0,IF((SUM(D7:J7)+$H$25*K4/(100%+$L$22))&lt;=$C$24*(100%-$C$26),$H$25*K4/(100%+$L$22),IF((SUM(D7:J7)+$H$25*K4/(100%+$L$22))&gt;$C$24*(100%-$C$26),$C$24*(100%-$C$26)-SUM(D7:J7))))</f>
        <v>213157.89473684211</v>
      </c>
      <c r="L7" s="90">
        <f>IF(SUM(D7:K7)&gt;$C$24*(100%-$C$26),0,IF((SUM(D7:K7)+$H$25*L4/(100%+$L$22))&lt;=$C$24*(100%-$C$26),$H$25*L4/(100%+$L$22),IF((SUM(D7:K7)+$H$25*L4/(100%+$L$22))&gt;$C$24*(100%-$C$26),$C$24*(100%-$C$26)-SUM(D7:K7))))</f>
        <v>227368.4210526316</v>
      </c>
      <c r="M7" s="90">
        <f>IF(SUM(D7:L7)&gt;$C$24*(100%-$C$26),0,IF((SUM(D7:L7)+$H$25*M4/(100%+$L$22))&lt;=$C$24*(100%-$C$26),$H$25*M4/(100%+$L$22),IF((SUM(D7:L7)+$H$25*M4/(100%+$L$22))&gt;$C$24*(100%-$C$26),$C$24*(100%-$C$26)-SUM(D7:L7))))</f>
        <v>241578.94736842107</v>
      </c>
      <c r="N7" s="90">
        <f>IF(SUM(D7:M7)&gt;$C$24*(100%-$C$26),0,IF((SUM(D7:M7)+$H$25*N4/(100%+$L$22))&lt;=$C$24*(100%-$C$26),$H$25*N4/(100%+$L$22),IF((SUM(D7:M7)+$H$25*N4/(100%+$L$22))&gt;$C$24*(100%-$C$26),$C$24*(100%-$C$26)-SUM(D7:M7))))</f>
        <v>255789.47368421053</v>
      </c>
      <c r="O7" s="90">
        <f>IF(SUM(D7:N7)&gt;=$C$24*(100%-$C$26),0,IF((SUM(D7:N7)+$H$25*O4/(100%+$L$22))&lt;=$C$24*(100%-$C$26),$H$25*O4/(100%+$L$22),IF((SUM(D7:N7)+$H$25*O4/(100%+$L$22))&gt;$C$24*(100%-$C$26),$C$24*(100%-$C$26)-SUM(D7:N7))))</f>
        <v>270000</v>
      </c>
      <c r="P7" s="90">
        <f>IF(SUM(D7:O7)&gt;$C$24*(100%-$C$26),0,IF((SUM(D7:O7)+$H$25*P4/(100%+$L$22))&lt;=$C$24*(100%-$C$26),$H$25*P4/(100%+$L$22),IF((SUM(D7:O7)+$H$25*P4/(100%+$L$22))&gt;$C$24*(100%-$C$26),$C$24*(100%-$C$26)-SUM(D7:O7))))</f>
        <v>270000</v>
      </c>
      <c r="Q7" s="90">
        <f>IF(SUM(D7:P7)&gt;$C$24*(100%-$C$26),0,IF((SUM(D7:P7)+$H$25*Q4/(100%+$L$22))&lt;=$C$24*(100%-$C$26),$H$25*Q4/(100%+$L$22),IF((SUM(D7:P7)+$H$25*Q4/(100%+$L$22))&gt;$C$24*(100%-$C$26),$C$24*(100%-$C$26)-SUM(D7:P7))))</f>
        <v>270000</v>
      </c>
      <c r="R7" s="90">
        <f>IF(SUM(D7:Q7)&gt;$C$24*(100%-$C$26),0,IF((SUM(D7:Q7)+$H$25*R4/(100%+$L$22))&lt;=$C$24*(100%-$C$26),$H$25*R4/(100%+$L$22),IF((SUM(D7:Q7)+$H$25*R4/(100%+$L$22))&gt;$C$24*(100%-$C$26),$C$24*(100%-$C$26)-SUM(D7:Q7))))</f>
        <v>270000</v>
      </c>
      <c r="S7" s="90">
        <f>IF(SUM(D7:R7)&gt;$C$24*(100%-$C$26),0,IF((SUM(D7:R7)+$H$25*S4/(100%+$L$22))&lt;=$C$24*(100%-$C$26),$H$25*S4/(100%+$L$22),IF((SUM(D7:R7)+$H$25*S4/(100%+$L$22))&gt;$C$24*(100%-$C$26),$C$24*(100%-$C$26)-SUM(D7:R7))))</f>
        <v>270000</v>
      </c>
      <c r="T7" s="90">
        <f>IF(SUM(D7:S7)&gt;$C$24*(100%-$C$26),0,IF((SUM(D7:S7)+$H$25*T4/(100%+$L$22))&lt;=$C$24*(100%-$C$26),$H$25*T4/(100%+$L$22),IF((SUM(D7:S7)+$H$25*T4/(100%+$L$22))&gt;$C$24*(100%-$C$26),$C$24*(100%-$C$26)-SUM(D7:S7))))</f>
        <v>270000</v>
      </c>
      <c r="U7" s="90">
        <f>IF(SUM(D7:T7)&gt;$C$24*(100%-$C$26),0,IF((SUM(D7:T7)+$H$25*U4/(100%+$L$22))&lt;=$C$24*(100%-$C$26),$H$25*U4/(100%+$L$22),IF((SUM(D7:T7)+$H$25*U4/(100%+$L$22))&gt;$C$24*(100%-$C$26),$C$24*(100%-$C$26)-SUM(D7:T7))))</f>
        <v>270000</v>
      </c>
      <c r="V7" s="90">
        <f>IF(SUM(D7:U7)&gt;$C$24*(100%-$C$26),0,IF((SUM(D7:U7)+$H$25*V4/(100%+$L$22))&lt;=$C$24*(100%-$C$26),$H$25*V4/(100%+$L$22),IF((SUM(D7:U7)+$H$25*V4/(100%+$L$22))&gt;$C$24*(100%-$C$26),$C$24*(100%-$C$26)-SUM(D7:U7))))</f>
        <v>270000</v>
      </c>
      <c r="W7" s="90">
        <f>IF(SUM(D7:V7)&gt;=$C$24*(100%-$C$26),0,IF((SUM(D7:V7)+$H$25*W4/(100%+$L$22))&lt;=$C$24*(100%-$C$26),$H$25*W4/(100%+$L$22),IF((SUM(D7:V7)+$H$25*W4/(100%+$L$22))&gt;=$C$24*(100%-$C$26),$C$24*(100%-$C$26)-SUM(D7:V7))))</f>
        <v>270000</v>
      </c>
      <c r="X7" s="90">
        <f>IF(SUM(D7:W7)&gt;=$C$24*(100%-$C$26),0,IF((SUM(D7:W7)+$H$25*X4/(100%+$L$22))&lt;=$C$24*(100%-$C$26),$H$25*X4/(100%+$L$22),IF((SUM(D7:W7)+$H$25*X4/(100%+$L$22))&gt;=$C$24*(100%-$C$26),$C$24*(100%-$C$26)-SUM(D7:W7))))</f>
        <v>270000</v>
      </c>
      <c r="Y7" s="90">
        <f>IF(SUM(D7:X7)&gt;=$C$24*(100%-$C$26),0,IF((SUM(D7:X7)+$H$25*Y4/(100%+$L$22))&lt;=$C$24*(100%-$C$26),$H$25*Y4/(100%+$L$22),IF((SUM(D7:X7)+$H$25*Y4/(100%+$L$22))&gt;=$C$24*(100%-$C$26),$C$24*(100%-$C$26)-SUM(D7:X7))))</f>
        <v>270000</v>
      </c>
      <c r="Z7" s="90">
        <f>IF(SUM(D7:Y7)&gt;=$C$24*(100%-$C$26),0,IF((SUM(D7:Y7)+$H$25*Z4/(100%+$L$22))&lt;=$C$24*(100%-$C$26),$H$25*Z4/(100%+$L$22),IF((SUM(D7:Y7)+$H$25*Z4/(100%+$L$22))&gt;=$C$24*(100%-$C$26),$C$24*(100%-$C$26)-SUM(D7:Y7))))</f>
        <v>270000</v>
      </c>
      <c r="AA7" s="171">
        <f>IF((C24*(100%-$C$26)-SUM(D7:Z7))&gt;=0,(C24*(100%-$C$26)-SUM(D7:Z7)),0)</f>
        <v>584210.52631578967</v>
      </c>
      <c r="AB7" s="85">
        <f>SUM(D7:O7)</f>
        <v>2145789.4736842108</v>
      </c>
      <c r="AC7" s="85">
        <f>SUM(P7:AA7)</f>
        <v>3554210.5263157897</v>
      </c>
      <c r="AD7" s="126">
        <f>AB7+AC7</f>
        <v>5700000</v>
      </c>
    </row>
    <row r="8" spans="1:30" s="81" customFormat="1" ht="16.95" customHeight="1" thickBot="1" x14ac:dyDescent="0.35">
      <c r="B8" s="115" t="s">
        <v>70</v>
      </c>
      <c r="C8" s="119">
        <f>C25</f>
        <v>1508000</v>
      </c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89"/>
    </row>
    <row r="9" spans="1:30" s="81" customFormat="1" ht="16.95" customHeight="1" thickTop="1" x14ac:dyDescent="0.3">
      <c r="B9" s="99" t="s">
        <v>106</v>
      </c>
      <c r="C9" s="83"/>
      <c r="D9" s="90">
        <f t="shared" ref="D9:AA9" si="3">$C$23</f>
        <v>405000</v>
      </c>
      <c r="E9" s="90">
        <f t="shared" si="3"/>
        <v>405000</v>
      </c>
      <c r="F9" s="90">
        <f t="shared" si="3"/>
        <v>405000</v>
      </c>
      <c r="G9" s="90">
        <f t="shared" si="3"/>
        <v>405000</v>
      </c>
      <c r="H9" s="90">
        <f t="shared" si="3"/>
        <v>405000</v>
      </c>
      <c r="I9" s="90">
        <f t="shared" si="3"/>
        <v>405000</v>
      </c>
      <c r="J9" s="90">
        <f t="shared" si="3"/>
        <v>405000</v>
      </c>
      <c r="K9" s="90">
        <f t="shared" si="3"/>
        <v>405000</v>
      </c>
      <c r="L9" s="90">
        <f t="shared" si="3"/>
        <v>405000</v>
      </c>
      <c r="M9" s="90">
        <f t="shared" si="3"/>
        <v>405000</v>
      </c>
      <c r="N9" s="90">
        <f t="shared" si="3"/>
        <v>405000</v>
      </c>
      <c r="O9" s="90">
        <f t="shared" si="3"/>
        <v>405000</v>
      </c>
      <c r="P9" s="90">
        <f t="shared" si="3"/>
        <v>405000</v>
      </c>
      <c r="Q9" s="90">
        <f t="shared" si="3"/>
        <v>405000</v>
      </c>
      <c r="R9" s="90">
        <f t="shared" si="3"/>
        <v>405000</v>
      </c>
      <c r="S9" s="90">
        <f t="shared" si="3"/>
        <v>405000</v>
      </c>
      <c r="T9" s="90">
        <f t="shared" si="3"/>
        <v>405000</v>
      </c>
      <c r="U9" s="90">
        <f t="shared" si="3"/>
        <v>405000</v>
      </c>
      <c r="V9" s="90">
        <f t="shared" si="3"/>
        <v>405000</v>
      </c>
      <c r="W9" s="90">
        <f t="shared" si="3"/>
        <v>405000</v>
      </c>
      <c r="X9" s="90">
        <f t="shared" si="3"/>
        <v>405000</v>
      </c>
      <c r="Y9" s="90">
        <f t="shared" si="3"/>
        <v>405000</v>
      </c>
      <c r="Z9" s="90">
        <f t="shared" si="3"/>
        <v>405000</v>
      </c>
      <c r="AA9" s="90">
        <f t="shared" si="3"/>
        <v>405000</v>
      </c>
      <c r="AB9" s="85">
        <f t="shared" ref="AB9:AB16" si="4">SUM(D9:O9)</f>
        <v>4860000</v>
      </c>
      <c r="AC9" s="85">
        <f t="shared" ref="AC9:AC13" si="5">SUM(P9:AA9)</f>
        <v>4860000</v>
      </c>
    </row>
    <row r="10" spans="1:30" s="81" customFormat="1" ht="16.95" customHeight="1" x14ac:dyDescent="0.3">
      <c r="B10" s="99" t="s">
        <v>27</v>
      </c>
      <c r="C10" s="91"/>
      <c r="D10" s="84">
        <f>IF(D4*$H$23&lt;$H$22,$H$22,D4*$H$23)</f>
        <v>100000</v>
      </c>
      <c r="E10" s="84">
        <f>IF(E4*$H$23&lt;$H$22,$H$22,E4*$H$23)</f>
        <v>113400.00000000001</v>
      </c>
      <c r="F10" s="84">
        <f>IF(F4*$H$23&lt;$H$22,$H$22,F4*$H$23)</f>
        <v>151200</v>
      </c>
      <c r="G10" s="84">
        <f>IF(G4*$H$23&lt;$H$22,$H$22,G4*$H$23)</f>
        <v>189000.00000000003</v>
      </c>
      <c r="H10" s="84">
        <f>IF(H4*$H$23&lt;$H$22,$H$22,H4*$H$23)</f>
        <v>226800.00000000003</v>
      </c>
      <c r="I10" s="84">
        <f>IF(I4*$H$23&lt;$H$22,$H$22,I4*$H$23)</f>
        <v>245700.00000000003</v>
      </c>
      <c r="J10" s="84">
        <f>IF(J4*$H$23&lt;$H$22,$H$22,J4*$H$23)</f>
        <v>264600</v>
      </c>
      <c r="K10" s="84">
        <f>IF(K4*$H$23&lt;$H$22,$H$22,K4*$H$23)</f>
        <v>283500</v>
      </c>
      <c r="L10" s="84">
        <f>IF(L4*$H$23&lt;$H$22,$H$22,L4*$H$23)</f>
        <v>302400</v>
      </c>
      <c r="M10" s="84">
        <f>IF(M4*$H$23&lt;$H$22,$H$22,M4*$H$23)</f>
        <v>321300.00000000006</v>
      </c>
      <c r="N10" s="84">
        <f>IF(N4*$H$23&lt;$H$22,$H$22,N4*$H$23)</f>
        <v>340200.00000000006</v>
      </c>
      <c r="O10" s="84">
        <f>IF(O4*$H$23&lt;$H$22,$H$22,O4*$H$23)</f>
        <v>359100.00000000006</v>
      </c>
      <c r="P10" s="84">
        <f>IF(P4*$H$23&lt;$H$22,$H$22,P4*$H$23)</f>
        <v>359100.00000000006</v>
      </c>
      <c r="Q10" s="84">
        <f>IF(Q4*$H$23&lt;$H$22,$H$22,Q4*$H$23)</f>
        <v>359100.00000000006</v>
      </c>
      <c r="R10" s="84">
        <f>IF(R4*$H$23&lt;$H$22,$H$22,R4*$H$23)</f>
        <v>359100.00000000006</v>
      </c>
      <c r="S10" s="84">
        <f>IF(S4*$H$23&lt;$H$22,$H$22,S4*$H$23)</f>
        <v>359100.00000000006</v>
      </c>
      <c r="T10" s="84">
        <f>IF(T4*$H$23&lt;$H$22,$H$22,T4*$H$23)</f>
        <v>359100.00000000006</v>
      </c>
      <c r="U10" s="84">
        <f>IF(U4*$H$23&lt;$H$22,$H$22,U4*$H$23)</f>
        <v>359100.00000000006</v>
      </c>
      <c r="V10" s="84">
        <f>IF(V4*$H$23&lt;$H$22,$H$22,V4*$H$23)</f>
        <v>359100.00000000006</v>
      </c>
      <c r="W10" s="84">
        <f>IF(W4*$H$23&lt;$H$22,$H$22,W4*$H$23)</f>
        <v>359100.00000000006</v>
      </c>
      <c r="X10" s="84">
        <f>IF(X4*$H$23&lt;$H$22,$H$22,X4*$H$23)</f>
        <v>359100.00000000006</v>
      </c>
      <c r="Y10" s="84">
        <f>IF(Y4*$H$23&lt;$H$22,$H$22,Y4*$H$23)</f>
        <v>359100.00000000006</v>
      </c>
      <c r="Z10" s="84">
        <f>IF(Z4*$H$23&lt;$H$22,$H$22,Z4*$H$23)</f>
        <v>359100.00000000006</v>
      </c>
      <c r="AA10" s="84">
        <f>IF(AA4*$H$23&lt;$H$22,$H$22,AA4*$H$23)</f>
        <v>359100.00000000006</v>
      </c>
      <c r="AB10" s="85">
        <f t="shared" si="4"/>
        <v>2897200</v>
      </c>
      <c r="AC10" s="85">
        <f t="shared" si="5"/>
        <v>4309200.0000000009</v>
      </c>
    </row>
    <row r="11" spans="1:30" s="81" customFormat="1" ht="16.95" customHeight="1" x14ac:dyDescent="0.3">
      <c r="B11" s="116" t="s">
        <v>93</v>
      </c>
      <c r="C11" s="91"/>
      <c r="D11" s="84">
        <f t="shared" ref="D11:AA11" si="6">$L$23</f>
        <v>210000</v>
      </c>
      <c r="E11" s="84">
        <f t="shared" si="6"/>
        <v>210000</v>
      </c>
      <c r="F11" s="84">
        <f t="shared" si="6"/>
        <v>210000</v>
      </c>
      <c r="G11" s="84">
        <f t="shared" si="6"/>
        <v>210000</v>
      </c>
      <c r="H11" s="84">
        <f t="shared" si="6"/>
        <v>210000</v>
      </c>
      <c r="I11" s="84">
        <f t="shared" si="6"/>
        <v>210000</v>
      </c>
      <c r="J11" s="84">
        <f t="shared" si="6"/>
        <v>210000</v>
      </c>
      <c r="K11" s="84">
        <f t="shared" si="6"/>
        <v>210000</v>
      </c>
      <c r="L11" s="84">
        <f t="shared" si="6"/>
        <v>210000</v>
      </c>
      <c r="M11" s="84">
        <f t="shared" si="6"/>
        <v>210000</v>
      </c>
      <c r="N11" s="84">
        <f t="shared" si="6"/>
        <v>210000</v>
      </c>
      <c r="O11" s="84">
        <f t="shared" si="6"/>
        <v>210000</v>
      </c>
      <c r="P11" s="84">
        <f t="shared" si="6"/>
        <v>210000</v>
      </c>
      <c r="Q11" s="84">
        <f t="shared" si="6"/>
        <v>210000</v>
      </c>
      <c r="R11" s="84">
        <f t="shared" si="6"/>
        <v>210000</v>
      </c>
      <c r="S11" s="84">
        <f t="shared" si="6"/>
        <v>210000</v>
      </c>
      <c r="T11" s="84">
        <f t="shared" si="6"/>
        <v>210000</v>
      </c>
      <c r="U11" s="84">
        <f t="shared" si="6"/>
        <v>210000</v>
      </c>
      <c r="V11" s="84">
        <f t="shared" si="6"/>
        <v>210000</v>
      </c>
      <c r="W11" s="84">
        <f t="shared" si="6"/>
        <v>210000</v>
      </c>
      <c r="X11" s="84">
        <f t="shared" si="6"/>
        <v>210000</v>
      </c>
      <c r="Y11" s="84">
        <f t="shared" si="6"/>
        <v>210000</v>
      </c>
      <c r="Z11" s="84">
        <f t="shared" si="6"/>
        <v>210000</v>
      </c>
      <c r="AA11" s="84">
        <f t="shared" si="6"/>
        <v>210000</v>
      </c>
      <c r="AB11" s="85">
        <f t="shared" si="4"/>
        <v>2520000</v>
      </c>
      <c r="AC11" s="85">
        <f t="shared" si="5"/>
        <v>2520000</v>
      </c>
    </row>
    <row r="12" spans="1:30" s="81" customFormat="1" ht="16.95" customHeight="1" x14ac:dyDescent="0.3">
      <c r="B12" s="116" t="s">
        <v>107</v>
      </c>
      <c r="C12" s="92"/>
      <c r="D12" s="93">
        <f>IF(D4*$L$25&lt;$L$24,$L$24,$L$25*D4)</f>
        <v>300000</v>
      </c>
      <c r="E12" s="93">
        <f>IF(E4*$L$25&lt;$L$24,$L$24,$L$25*E4)</f>
        <v>300000</v>
      </c>
      <c r="F12" s="93">
        <f>IF(F4*$L$25&lt;$L$24,$L$24,$L$25*F4)</f>
        <v>300000</v>
      </c>
      <c r="G12" s="93">
        <f>IF(G4*$L$25&lt;$L$24,$L$24,$L$25*G4)</f>
        <v>300000</v>
      </c>
      <c r="H12" s="93">
        <f>IF(H4*$L$25&lt;$L$24,$L$24,$L$25*H4)</f>
        <v>324000</v>
      </c>
      <c r="I12" s="93">
        <f>IF(I4*$L$25&lt;$L$24,$L$24,$L$25*I4)</f>
        <v>351000</v>
      </c>
      <c r="J12" s="93">
        <f>IF(J4*$L$25&lt;$L$24,$L$24,$L$25*J4)</f>
        <v>378000</v>
      </c>
      <c r="K12" s="93">
        <f>IF(K4*$L$25&lt;$L$24,$L$24,$L$25*K4)</f>
        <v>405000</v>
      </c>
      <c r="L12" s="93">
        <f>IF(L4*$L$25&lt;$L$24,$L$24,$L$25*L4)</f>
        <v>432000</v>
      </c>
      <c r="M12" s="93">
        <f>IF(M4*$L$25&lt;$L$24,$L$24,$L$25*M4)</f>
        <v>459000</v>
      </c>
      <c r="N12" s="93">
        <f>IF(N4*$L$25&lt;$L$24,$L$24,$L$25*N4)</f>
        <v>486000</v>
      </c>
      <c r="O12" s="93">
        <f>IF(O4*$L$25&lt;$L$24,$L$24,$L$25*O4)</f>
        <v>513000</v>
      </c>
      <c r="P12" s="93">
        <f>IF(P4*$L$25&lt;$L$24,$L$24,$L$25*P4)</f>
        <v>513000</v>
      </c>
      <c r="Q12" s="93">
        <f>IF(Q4*$L$25&lt;$L$24,$L$24,$L$25*Q4)</f>
        <v>513000</v>
      </c>
      <c r="R12" s="93">
        <f>IF(R4*$L$25&lt;$L$24,$L$24,$L$25*R4)</f>
        <v>513000</v>
      </c>
      <c r="S12" s="93">
        <f>IF(S4*$L$25&lt;$L$24,$L$24,$L$25*S4)</f>
        <v>513000</v>
      </c>
      <c r="T12" s="93">
        <f>IF(T4*$L$25&lt;$L$24,$L$24,$L$25*T4)</f>
        <v>513000</v>
      </c>
      <c r="U12" s="93">
        <f>IF(U4*$L$25&lt;$L$24,$L$24,$L$25*U4)</f>
        <v>513000</v>
      </c>
      <c r="V12" s="93">
        <f>IF(V4*$L$25&lt;$L$24,$L$24,$L$25*V4)</f>
        <v>513000</v>
      </c>
      <c r="W12" s="93">
        <f>IF(W4*$L$25&lt;$L$24,$L$24,$L$25*W4)</f>
        <v>513000</v>
      </c>
      <c r="X12" s="93">
        <f>IF(X4*$L$25&lt;$L$24,$L$24,$L$25*X4)</f>
        <v>513000</v>
      </c>
      <c r="Y12" s="93">
        <f>IF(Y4*$L$25&lt;$L$24,$L$24,$L$25*Y4)</f>
        <v>513000</v>
      </c>
      <c r="Z12" s="93">
        <f>IF(Z4*$L$25&lt;$L$24,$L$24,$L$25*Z4)</f>
        <v>513000</v>
      </c>
      <c r="AA12" s="93">
        <f>IF(AA4*$L$25&lt;$L$24,$L$24,$L$25*AA4)</f>
        <v>513000</v>
      </c>
      <c r="AB12" s="94">
        <f t="shared" si="4"/>
        <v>4548000</v>
      </c>
      <c r="AC12" s="94">
        <f t="shared" si="5"/>
        <v>6156000</v>
      </c>
    </row>
    <row r="13" spans="1:30" s="81" customFormat="1" ht="16.95" customHeight="1" thickBot="1" x14ac:dyDescent="0.35">
      <c r="B13" s="115" t="s">
        <v>108</v>
      </c>
      <c r="C13" s="95"/>
      <c r="D13" s="96">
        <f>SUM(D9:D12)</f>
        <v>1015000</v>
      </c>
      <c r="E13" s="96">
        <f>SUM(E9:E12)</f>
        <v>1028400</v>
      </c>
      <c r="F13" s="96">
        <f>SUM(F9:F12)</f>
        <v>1066200</v>
      </c>
      <c r="G13" s="96">
        <f>SUM(G9:G12)</f>
        <v>1104000</v>
      </c>
      <c r="H13" s="96">
        <f>SUM(H9:H12)</f>
        <v>1165800</v>
      </c>
      <c r="I13" s="96">
        <f>SUM(I9:I12)</f>
        <v>1211700</v>
      </c>
      <c r="J13" s="96">
        <f>SUM(J9:J12)</f>
        <v>1257600</v>
      </c>
      <c r="K13" s="96">
        <f>SUM(K9:K12)</f>
        <v>1303500</v>
      </c>
      <c r="L13" s="96">
        <f>SUM(L9:L12)</f>
        <v>1349400</v>
      </c>
      <c r="M13" s="96">
        <f>SUM(M9:M12)</f>
        <v>1395300</v>
      </c>
      <c r="N13" s="96">
        <f>SUM(N9:N12)</f>
        <v>1441200</v>
      </c>
      <c r="O13" s="96">
        <f>SUM(O9:O12)</f>
        <v>1487100</v>
      </c>
      <c r="P13" s="96">
        <f>SUM(P9:P12)</f>
        <v>1487100</v>
      </c>
      <c r="Q13" s="96">
        <f>SUM(Q9:Q12)</f>
        <v>1487100</v>
      </c>
      <c r="R13" s="96">
        <f>SUM(R9:R12)</f>
        <v>1487100</v>
      </c>
      <c r="S13" s="96">
        <f>SUM(S9:S12)</f>
        <v>1487100</v>
      </c>
      <c r="T13" s="96">
        <f>SUM(T9:T12)</f>
        <v>1487100</v>
      </c>
      <c r="U13" s="96">
        <f>SUM(U9:U12)</f>
        <v>1487100</v>
      </c>
      <c r="V13" s="96">
        <f>SUM(V9:V12)</f>
        <v>1487100</v>
      </c>
      <c r="W13" s="96">
        <f>SUM(W9:W12)</f>
        <v>1487100</v>
      </c>
      <c r="X13" s="96">
        <f>SUM(X9:X12)</f>
        <v>1487100</v>
      </c>
      <c r="Y13" s="96">
        <f>SUM(Y9:Y12)</f>
        <v>1487100</v>
      </c>
      <c r="Z13" s="96">
        <f>SUM(Z9:Z12)</f>
        <v>1487100</v>
      </c>
      <c r="AA13" s="96">
        <f>SUM(AA9:AA12)</f>
        <v>1487100</v>
      </c>
      <c r="AB13" s="89">
        <f t="shared" si="4"/>
        <v>14825200</v>
      </c>
      <c r="AC13" s="89">
        <f t="shared" si="5"/>
        <v>17845200</v>
      </c>
    </row>
    <row r="14" spans="1:30" s="81" customFormat="1" ht="16.95" customHeight="1" thickTop="1" x14ac:dyDescent="0.3">
      <c r="B14" s="99" t="s">
        <v>109</v>
      </c>
      <c r="C14" s="91"/>
      <c r="D14" s="93">
        <f>D4-D4/(100%+$L$22)</f>
        <v>383684.21052631579</v>
      </c>
      <c r="E14" s="93">
        <f>E4-E4/(100%+$L$22)</f>
        <v>767368.42105263157</v>
      </c>
      <c r="F14" s="93">
        <f>F4-F4/(100%+$L$22)</f>
        <v>1023157.894736842</v>
      </c>
      <c r="G14" s="93">
        <f>G4-G4/(100%+$L$22)</f>
        <v>1278947.3684210526</v>
      </c>
      <c r="H14" s="93">
        <f>H4-H4/(100%+$L$22)</f>
        <v>1534736.8421052631</v>
      </c>
      <c r="I14" s="93">
        <f>I4-I4/(100%+$L$22)</f>
        <v>1662631.5789473683</v>
      </c>
      <c r="J14" s="93">
        <f>J4-J4/(100%+$L$22)</f>
        <v>1790526.3157894735</v>
      </c>
      <c r="K14" s="93">
        <f>K4-K4/(100%+$L$22)</f>
        <v>1918421.0526315789</v>
      </c>
      <c r="L14" s="93">
        <f>L4-L4/(100%+$L$22)</f>
        <v>2046315.789473684</v>
      </c>
      <c r="M14" s="93">
        <f>M4-M4/(100%+$L$22)</f>
        <v>2174210.5263157892</v>
      </c>
      <c r="N14" s="93">
        <f>N4-N4/(100%+$L$22)</f>
        <v>2302105.2631578948</v>
      </c>
      <c r="O14" s="93">
        <f>O4-O4/(100%+$L$22)</f>
        <v>2430000</v>
      </c>
      <c r="P14" s="93">
        <f>P4-P4/(100%+$L$22)</f>
        <v>2430000</v>
      </c>
      <c r="Q14" s="93">
        <f>Q4-Q4/(100%+$L$22)</f>
        <v>2430000</v>
      </c>
      <c r="R14" s="93">
        <f>R4-R4/(100%+$L$22)</f>
        <v>2430000</v>
      </c>
      <c r="S14" s="93">
        <f>S4-S4/(100%+$L$22)</f>
        <v>2430000</v>
      </c>
      <c r="T14" s="93">
        <f>T4-T4/(100%+$L$22)</f>
        <v>2430000</v>
      </c>
      <c r="U14" s="93">
        <f>U4-U4/(100%+$L$22)</f>
        <v>2430000</v>
      </c>
      <c r="V14" s="93">
        <f>V4-V4/(100%+$L$22)</f>
        <v>2430000</v>
      </c>
      <c r="W14" s="93">
        <f>W4-W4/(100%+$L$22)</f>
        <v>2430000</v>
      </c>
      <c r="X14" s="93">
        <f>X4-X4/(100%+$L$22)</f>
        <v>2430000</v>
      </c>
      <c r="Y14" s="93">
        <f>Y4-Y4/(100%+$L$22)</f>
        <v>2430000</v>
      </c>
      <c r="Z14" s="93">
        <f>Z4-Z4/(100%+$L$22)</f>
        <v>2430000</v>
      </c>
      <c r="AA14" s="93">
        <f>AA4-AA4/(100%+$L$22)</f>
        <v>2430000</v>
      </c>
      <c r="AB14" s="94">
        <f t="shared" si="4"/>
        <v>19312105.263157897</v>
      </c>
      <c r="AC14" s="94">
        <f>SUM(P14:AA14)</f>
        <v>29160000</v>
      </c>
    </row>
    <row r="15" spans="1:30" s="81" customFormat="1" ht="16.95" customHeight="1" x14ac:dyDescent="0.3">
      <c r="B15" s="99" t="s">
        <v>86</v>
      </c>
      <c r="C15" s="91"/>
      <c r="D15" s="84">
        <f t="shared" ref="D15:AA15" si="7">IF((D14-D13)&lt;0,0,(D14-D13)*$H$24)</f>
        <v>0</v>
      </c>
      <c r="E15" s="84">
        <f t="shared" si="7"/>
        <v>0</v>
      </c>
      <c r="F15" s="84">
        <f t="shared" si="7"/>
        <v>0</v>
      </c>
      <c r="G15" s="84">
        <f t="shared" si="7"/>
        <v>26242.105263157886</v>
      </c>
      <c r="H15" s="84">
        <f t="shared" si="7"/>
        <v>55340.526315789473</v>
      </c>
      <c r="I15" s="84">
        <f t="shared" si="7"/>
        <v>67639.736842105238</v>
      </c>
      <c r="J15" s="84">
        <f t="shared" si="7"/>
        <v>79938.947368421024</v>
      </c>
      <c r="K15" s="84">
        <f t="shared" si="7"/>
        <v>92238.157894736825</v>
      </c>
      <c r="L15" s="84">
        <f t="shared" si="7"/>
        <v>104537.3684210526</v>
      </c>
      <c r="M15" s="84">
        <f t="shared" si="7"/>
        <v>116836.57894736838</v>
      </c>
      <c r="N15" s="84">
        <f t="shared" si="7"/>
        <v>129135.78947368421</v>
      </c>
      <c r="O15" s="84">
        <f t="shared" si="7"/>
        <v>141435</v>
      </c>
      <c r="P15" s="84">
        <f t="shared" si="7"/>
        <v>141435</v>
      </c>
      <c r="Q15" s="84">
        <f t="shared" si="7"/>
        <v>141435</v>
      </c>
      <c r="R15" s="84">
        <f t="shared" si="7"/>
        <v>141435</v>
      </c>
      <c r="S15" s="84">
        <f t="shared" si="7"/>
        <v>141435</v>
      </c>
      <c r="T15" s="84">
        <f t="shared" si="7"/>
        <v>141435</v>
      </c>
      <c r="U15" s="84">
        <f t="shared" si="7"/>
        <v>141435</v>
      </c>
      <c r="V15" s="84">
        <f t="shared" si="7"/>
        <v>141435</v>
      </c>
      <c r="W15" s="84">
        <f t="shared" si="7"/>
        <v>141435</v>
      </c>
      <c r="X15" s="84">
        <f t="shared" si="7"/>
        <v>141435</v>
      </c>
      <c r="Y15" s="84">
        <f t="shared" si="7"/>
        <v>141435</v>
      </c>
      <c r="Z15" s="84">
        <f t="shared" si="7"/>
        <v>141435</v>
      </c>
      <c r="AA15" s="84">
        <f t="shared" si="7"/>
        <v>141435</v>
      </c>
      <c r="AB15" s="85">
        <f t="shared" si="4"/>
        <v>813344.21052631573</v>
      </c>
      <c r="AC15" s="85">
        <f>SUM(P15:AA15)</f>
        <v>1697220</v>
      </c>
    </row>
    <row r="16" spans="1:30" s="81" customFormat="1" ht="16.95" customHeight="1" x14ac:dyDescent="0.3">
      <c r="B16" s="99" t="s">
        <v>110</v>
      </c>
      <c r="C16" s="83"/>
      <c r="D16" s="97">
        <f t="shared" ref="D16:AA16" si="8">D14-D13-D15</f>
        <v>-631315.78947368427</v>
      </c>
      <c r="E16" s="97">
        <f t="shared" si="8"/>
        <v>-261031.57894736843</v>
      </c>
      <c r="F16" s="97">
        <f t="shared" si="8"/>
        <v>-43042.105263157981</v>
      </c>
      <c r="G16" s="97">
        <f t="shared" si="8"/>
        <v>148705.26315789469</v>
      </c>
      <c r="H16" s="97">
        <f t="shared" si="8"/>
        <v>313596.31578947365</v>
      </c>
      <c r="I16" s="97">
        <f t="shared" si="8"/>
        <v>383291.84210526309</v>
      </c>
      <c r="J16" s="97">
        <f t="shared" si="8"/>
        <v>452987.36842105247</v>
      </c>
      <c r="K16" s="97">
        <f t="shared" si="8"/>
        <v>522682.89473684202</v>
      </c>
      <c r="L16" s="97">
        <f t="shared" si="8"/>
        <v>592378.42105263146</v>
      </c>
      <c r="M16" s="97">
        <f t="shared" si="8"/>
        <v>662073.94736842078</v>
      </c>
      <c r="N16" s="97">
        <f t="shared" si="8"/>
        <v>731769.47368421056</v>
      </c>
      <c r="O16" s="97">
        <f t="shared" si="8"/>
        <v>801465</v>
      </c>
      <c r="P16" s="97">
        <f t="shared" si="8"/>
        <v>801465</v>
      </c>
      <c r="Q16" s="97">
        <f t="shared" si="8"/>
        <v>801465</v>
      </c>
      <c r="R16" s="97">
        <f t="shared" si="8"/>
        <v>801465</v>
      </c>
      <c r="S16" s="97">
        <f t="shared" si="8"/>
        <v>801465</v>
      </c>
      <c r="T16" s="97">
        <f t="shared" si="8"/>
        <v>801465</v>
      </c>
      <c r="U16" s="97">
        <f t="shared" si="8"/>
        <v>801465</v>
      </c>
      <c r="V16" s="97">
        <f t="shared" si="8"/>
        <v>801465</v>
      </c>
      <c r="W16" s="97">
        <f t="shared" si="8"/>
        <v>801465</v>
      </c>
      <c r="X16" s="97">
        <f t="shared" si="8"/>
        <v>801465</v>
      </c>
      <c r="Y16" s="97">
        <f t="shared" si="8"/>
        <v>801465</v>
      </c>
      <c r="Z16" s="97">
        <f t="shared" si="8"/>
        <v>801465</v>
      </c>
      <c r="AA16" s="97">
        <f t="shared" si="8"/>
        <v>801465</v>
      </c>
      <c r="AB16" s="94">
        <f t="shared" si="4"/>
        <v>3673561.0526315784</v>
      </c>
      <c r="AC16" s="94">
        <f>SUM(P16:AA16)</f>
        <v>9617580</v>
      </c>
      <c r="AD16" s="125" t="s">
        <v>28</v>
      </c>
    </row>
    <row r="17" spans="2:30" s="81" customFormat="1" ht="16.95" customHeight="1" x14ac:dyDescent="0.3">
      <c r="B17" s="99" t="s">
        <v>116</v>
      </c>
      <c r="C17" s="97"/>
      <c r="D17" s="97">
        <f>D16</f>
        <v>-631315.78947368427</v>
      </c>
      <c r="E17" s="97">
        <f>D17+E16</f>
        <v>-892347.3684210527</v>
      </c>
      <c r="F17" s="97">
        <f t="shared" ref="F17:AA17" si="9">E17+F16</f>
        <v>-935389.47368421068</v>
      </c>
      <c r="G17" s="97">
        <f t="shared" si="9"/>
        <v>-786684.21052631596</v>
      </c>
      <c r="H17" s="97">
        <f t="shared" si="9"/>
        <v>-473087.89473684231</v>
      </c>
      <c r="I17" s="97">
        <f t="shared" si="9"/>
        <v>-89796.052631579223</v>
      </c>
      <c r="J17" s="97">
        <f t="shared" si="9"/>
        <v>363191.31578947324</v>
      </c>
      <c r="K17" s="97">
        <f t="shared" si="9"/>
        <v>885874.21052631526</v>
      </c>
      <c r="L17" s="97">
        <f t="shared" si="9"/>
        <v>1478252.6315789467</v>
      </c>
      <c r="M17" s="97">
        <f t="shared" si="9"/>
        <v>2140326.5789473676</v>
      </c>
      <c r="N17" s="97">
        <f t="shared" si="9"/>
        <v>2872096.0526315784</v>
      </c>
      <c r="O17" s="97">
        <f t="shared" si="9"/>
        <v>3673561.0526315784</v>
      </c>
      <c r="P17" s="97">
        <f>O17+P16</f>
        <v>4475026.0526315784</v>
      </c>
      <c r="Q17" s="97">
        <f t="shared" si="9"/>
        <v>5276491.0526315784</v>
      </c>
      <c r="R17" s="97">
        <f t="shared" si="9"/>
        <v>6077956.0526315784</v>
      </c>
      <c r="S17" s="97">
        <f t="shared" si="9"/>
        <v>6879421.0526315784</v>
      </c>
      <c r="T17" s="97">
        <f t="shared" si="9"/>
        <v>7680886.0526315784</v>
      </c>
      <c r="U17" s="97">
        <f t="shared" si="9"/>
        <v>8482351.0526315793</v>
      </c>
      <c r="V17" s="97">
        <f t="shared" si="9"/>
        <v>9283816.0526315793</v>
      </c>
      <c r="W17" s="97">
        <f t="shared" si="9"/>
        <v>10085281.052631579</v>
      </c>
      <c r="X17" s="97">
        <f t="shared" si="9"/>
        <v>10886746.052631579</v>
      </c>
      <c r="Y17" s="97">
        <f t="shared" si="9"/>
        <v>11688211.052631579</v>
      </c>
      <c r="Z17" s="97">
        <f t="shared" si="9"/>
        <v>12489676.052631579</v>
      </c>
      <c r="AA17" s="97">
        <f t="shared" si="9"/>
        <v>13291141.052631579</v>
      </c>
      <c r="AB17" s="94">
        <f>O17</f>
        <v>3673561.0526315784</v>
      </c>
      <c r="AC17" s="94">
        <f>AA17</f>
        <v>13291141.052631579</v>
      </c>
      <c r="AD17" s="126">
        <f>SUM(AB14:AC14)-SUM(AB13:AC13)-SUM(AB15:AC15)</f>
        <v>13291141.052631581</v>
      </c>
    </row>
    <row r="18" spans="2:30" s="81" customFormat="1" ht="16.95" customHeight="1" x14ac:dyDescent="0.3">
      <c r="B18" s="99" t="s">
        <v>28</v>
      </c>
      <c r="C18" s="97"/>
      <c r="D18" s="97">
        <f>D16-D7</f>
        <v>-673947.3684210527</v>
      </c>
      <c r="E18" s="97">
        <f>D18+E16-E7</f>
        <v>-1020242.105263158</v>
      </c>
      <c r="F18" s="97">
        <f>E18+F16-F7</f>
        <v>-1176968.4210526317</v>
      </c>
      <c r="G18" s="97">
        <f>F18+G16-G7</f>
        <v>-1170368.4210526317</v>
      </c>
      <c r="H18" s="97">
        <f>G18+H16-H7</f>
        <v>-1027298.4210526317</v>
      </c>
      <c r="I18" s="97">
        <f>H18+I16-I7</f>
        <v>-828743.42105263169</v>
      </c>
      <c r="J18" s="97">
        <f>I18+J16-J7</f>
        <v>-574703.42105263192</v>
      </c>
      <c r="K18" s="97">
        <f>J18+K16-K7</f>
        <v>-265178.42105263204</v>
      </c>
      <c r="L18" s="97">
        <f>K18+L16-L7</f>
        <v>99831.578947367816</v>
      </c>
      <c r="M18" s="97">
        <f>L18+M16-M7</f>
        <v>520326.57894736755</v>
      </c>
      <c r="N18" s="97">
        <f>M18+N16-N7</f>
        <v>996306.57894736761</v>
      </c>
      <c r="O18" s="97">
        <f>N18+O16-O7</f>
        <v>1527771.5789473676</v>
      </c>
      <c r="P18" s="97">
        <f>O18+P16-P7</f>
        <v>2059236.5789473676</v>
      </c>
      <c r="Q18" s="97">
        <f>P18+Q16-Q7</f>
        <v>2590701.5789473676</v>
      </c>
      <c r="R18" s="97">
        <f>Q18+R16-R7</f>
        <v>3122166.5789473676</v>
      </c>
      <c r="S18" s="97">
        <f>R18+S16-S7</f>
        <v>3653631.5789473676</v>
      </c>
      <c r="T18" s="97">
        <f>S18+T16-T7</f>
        <v>4185096.5789473671</v>
      </c>
      <c r="U18" s="97">
        <f>T18+U16-U7</f>
        <v>4716561.5789473671</v>
      </c>
      <c r="V18" s="97">
        <f>U18+V16-V7</f>
        <v>5248026.5789473671</v>
      </c>
      <c r="W18" s="97">
        <f>V18+W16-W7</f>
        <v>5779491.5789473671</v>
      </c>
      <c r="X18" s="97">
        <f>W18+X16-X7</f>
        <v>6310956.5789473671</v>
      </c>
      <c r="Y18" s="97">
        <f>X18+Y16-Y7</f>
        <v>6842421.5789473671</v>
      </c>
      <c r="Z18" s="97">
        <f>Y18+Z16-Z7</f>
        <v>7373886.5789473671</v>
      </c>
      <c r="AA18" s="97">
        <f>Z18+AA16-AA7</f>
        <v>7591141.0526315775</v>
      </c>
      <c r="AB18" s="94">
        <f>O18</f>
        <v>1527771.5789473676</v>
      </c>
      <c r="AC18" s="94">
        <f>AA18</f>
        <v>7591141.0526315775</v>
      </c>
      <c r="AD18" s="126">
        <f>SUM(AB16:AC16)-SUM(AB7:AC7)</f>
        <v>7591141.0526315793</v>
      </c>
    </row>
    <row r="19" spans="2:30" ht="16.95" customHeight="1" x14ac:dyDescent="0.2"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9"/>
      <c r="AD19" s="79"/>
    </row>
    <row r="21" spans="2:30" s="98" customFormat="1" ht="15" hidden="1" customHeight="1" outlineLevel="1" x14ac:dyDescent="0.3">
      <c r="B21" s="99" t="s">
        <v>59</v>
      </c>
      <c r="C21" s="100">
        <f>'КАЛЬКУЛЯТОР, САЛОН  ZETTA'!K15</f>
        <v>900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</row>
    <row r="22" spans="2:30" s="98" customFormat="1" ht="15" hidden="1" customHeight="1" outlineLevel="1" x14ac:dyDescent="0.3">
      <c r="B22" s="99" t="s">
        <v>60</v>
      </c>
      <c r="C22" s="100">
        <v>450</v>
      </c>
      <c r="D22" s="103"/>
      <c r="E22" s="104" t="s">
        <v>95</v>
      </c>
      <c r="F22" s="100">
        <f>'КАЛЬКУЛЯТОР, САЛОН  ZETTA'!C14</f>
        <v>270000</v>
      </c>
      <c r="G22" s="105"/>
      <c r="H22" s="100">
        <f>'КАЛЬКУЛЯТОР, САЛОН  ZETTA'!K8</f>
        <v>100000</v>
      </c>
      <c r="I22" s="106" t="s">
        <v>29</v>
      </c>
      <c r="J22" s="101"/>
      <c r="K22" s="101"/>
      <c r="L22" s="107">
        <f>'КАЛЬКУЛЯТОР, САЛОН  ZETTA'!C13</f>
        <v>0.9</v>
      </c>
      <c r="M22" s="106" t="s">
        <v>30</v>
      </c>
      <c r="N22" s="101"/>
      <c r="O22" s="101"/>
      <c r="P22" s="108"/>
    </row>
    <row r="23" spans="2:30" s="98" customFormat="1" ht="15" hidden="1" customHeight="1" outlineLevel="1" x14ac:dyDescent="0.3">
      <c r="B23" s="99" t="s">
        <v>31</v>
      </c>
      <c r="C23" s="100">
        <f>C21*C22</f>
        <v>405000</v>
      </c>
      <c r="D23" s="103"/>
      <c r="E23" s="104" t="s">
        <v>32</v>
      </c>
      <c r="F23" s="100">
        <f>'КАЛЬКУЛЯТОР, САЛОН  ZETTA'!E3</f>
        <v>19</v>
      </c>
      <c r="G23" s="101"/>
      <c r="H23" s="107">
        <f>'КАЛЬКУЛЯТОР, САЛОН  ZETTA'!K9</f>
        <v>7.0000000000000007E-2</v>
      </c>
      <c r="I23" s="106" t="s">
        <v>33</v>
      </c>
      <c r="J23" s="101"/>
      <c r="K23" s="101"/>
      <c r="L23" s="100">
        <f>'КАЛЬКУЛЯТОР, САЛОН  ZETTA'!K11</f>
        <v>210000</v>
      </c>
      <c r="M23" s="109" t="s">
        <v>93</v>
      </c>
      <c r="N23" s="101"/>
      <c r="O23" s="101"/>
      <c r="P23" s="108"/>
    </row>
    <row r="24" spans="2:30" s="98" customFormat="1" ht="15" hidden="1" customHeight="1" outlineLevel="1" x14ac:dyDescent="0.3">
      <c r="B24" s="99" t="s">
        <v>65</v>
      </c>
      <c r="C24" s="100">
        <f>'КАЛЬКУЛЯТОР, САЛОН  ZETTA'!K4</f>
        <v>5700000</v>
      </c>
      <c r="D24" s="103"/>
      <c r="E24" s="104" t="s">
        <v>87</v>
      </c>
      <c r="F24" s="100">
        <f>$F$22*F23</f>
        <v>5130000</v>
      </c>
      <c r="G24" s="103"/>
      <c r="H24" s="107">
        <f>'КАЛЬКУЛЯТОР, САЛОН  ZETTA'!C15</f>
        <v>0.15</v>
      </c>
      <c r="I24" s="106" t="s">
        <v>86</v>
      </c>
      <c r="J24" s="101"/>
      <c r="K24" s="101"/>
      <c r="L24" s="100">
        <f>'КАЛЬКУЛЯТОР, САЛОН  ZETTA'!K12</f>
        <v>300000</v>
      </c>
      <c r="M24" s="109" t="s">
        <v>62</v>
      </c>
      <c r="N24" s="101"/>
      <c r="O24" s="101"/>
      <c r="P24" s="110"/>
    </row>
    <row r="25" spans="2:30" s="98" customFormat="1" ht="15" hidden="1" customHeight="1" outlineLevel="1" x14ac:dyDescent="0.3">
      <c r="B25" s="99" t="s">
        <v>67</v>
      </c>
      <c r="C25" s="100">
        <f>'КАЛЬКУЛЯТОР, САЛОН  ZETTA'!K7</f>
        <v>1508000</v>
      </c>
      <c r="D25" s="103"/>
      <c r="E25" s="103"/>
      <c r="F25" s="103"/>
      <c r="G25" s="103"/>
      <c r="H25" s="143">
        <f>'КАЛЬКУЛЯТОР, САЛОН  ZETTA'!H13</f>
        <v>0.1</v>
      </c>
      <c r="I25" s="106" t="s">
        <v>64</v>
      </c>
      <c r="J25" s="101"/>
      <c r="K25" s="101"/>
      <c r="L25" s="107">
        <f>'КАЛЬКУЛЯТОР, САЛОН  ZETTA'!J13</f>
        <v>0.1</v>
      </c>
      <c r="M25" s="109" t="s">
        <v>63</v>
      </c>
      <c r="N25" s="101"/>
      <c r="O25" s="101"/>
      <c r="P25" s="110"/>
    </row>
    <row r="26" spans="2:30" s="98" customFormat="1" ht="15" hidden="1" customHeight="1" outlineLevel="1" x14ac:dyDescent="0.3">
      <c r="B26" s="99" t="s">
        <v>35</v>
      </c>
      <c r="C26" s="143">
        <f>'КАЛЬКУЛЯТОР, САЛОН  ZETTA'!H14</f>
        <v>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30" s="111" customFormat="1" ht="15" hidden="1" customHeight="1" outlineLevel="1" x14ac:dyDescent="0.3">
      <c r="B27" s="99"/>
      <c r="C27" s="112"/>
      <c r="D27" s="113" t="s">
        <v>36</v>
      </c>
      <c r="E27" s="113" t="s">
        <v>37</v>
      </c>
      <c r="F27" s="113" t="s">
        <v>38</v>
      </c>
      <c r="G27" s="113" t="s">
        <v>39</v>
      </c>
      <c r="H27" s="113" t="s">
        <v>40</v>
      </c>
      <c r="I27" s="113" t="s">
        <v>41</v>
      </c>
      <c r="J27" s="113" t="s">
        <v>42</v>
      </c>
      <c r="K27" s="113" t="s">
        <v>43</v>
      </c>
      <c r="L27" s="113" t="s">
        <v>44</v>
      </c>
      <c r="M27" s="113" t="s">
        <v>45</v>
      </c>
      <c r="N27" s="113" t="s">
        <v>46</v>
      </c>
      <c r="O27" s="113" t="s">
        <v>47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2:30" s="98" customFormat="1" ht="15" hidden="1" customHeight="1" outlineLevel="1" x14ac:dyDescent="0.3">
      <c r="B28" s="99" t="s">
        <v>111</v>
      </c>
      <c r="C28" s="101"/>
      <c r="D28" s="107">
        <f>'ДДС ZETTA 300'!D28</f>
        <v>0.2</v>
      </c>
      <c r="E28" s="107">
        <f>'ДДС ZETTA 300'!E28</f>
        <v>0.35</v>
      </c>
      <c r="F28" s="107">
        <f>'ДДС ZETTA 300'!F28</f>
        <v>0.45</v>
      </c>
      <c r="G28" s="107">
        <f>'ДДС ZETTA 300'!G28</f>
        <v>0.55000000000000004</v>
      </c>
      <c r="H28" s="107">
        <f>'ДДС ZETTA 300'!H28</f>
        <v>0.65</v>
      </c>
      <c r="I28" s="107">
        <f>'ДДС ZETTA 300'!I28</f>
        <v>0.7</v>
      </c>
      <c r="J28" s="107">
        <f>'ДДС ZETTA 300'!J28</f>
        <v>0.75</v>
      </c>
      <c r="K28" s="107">
        <f>'ДДС ZETTA 300'!K28</f>
        <v>0.8</v>
      </c>
      <c r="L28" s="107">
        <f>'ДДС ZETTA 300'!L28</f>
        <v>0.85</v>
      </c>
      <c r="M28" s="107">
        <f>'ДДС ZETTA 300'!M28</f>
        <v>0.9</v>
      </c>
      <c r="N28" s="107">
        <f>'ДДС ZETTA 300'!N28</f>
        <v>0.95</v>
      </c>
      <c r="O28" s="107">
        <f>'ДДС ZETTA 300'!O28</f>
        <v>1</v>
      </c>
    </row>
    <row r="29" spans="2:30" s="25" customFormat="1" hidden="1" outlineLevel="1" x14ac:dyDescent="0.3">
      <c r="B29" s="80"/>
      <c r="C29" s="26">
        <f>SUM(D7:AA7)</f>
        <v>5700000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</row>
    <row r="30" spans="2:30" collapsed="1" x14ac:dyDescent="0.3">
      <c r="B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30" ht="15" x14ac:dyDescent="0.2">
      <c r="E31" s="12"/>
    </row>
    <row r="73" spans="2:30" ht="15" hidden="1" x14ac:dyDescent="0.2">
      <c r="B73" s="15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2:30" s="5" customFormat="1" ht="16.05" hidden="1" x14ac:dyDescent="0.2">
      <c r="B74" s="17" t="s">
        <v>48</v>
      </c>
      <c r="C74" s="2"/>
      <c r="D74" s="2" t="str">
        <f>D2</f>
        <v>1-й мес</v>
      </c>
      <c r="E74" s="2" t="str">
        <f>E2</f>
        <v>2-й мес</v>
      </c>
      <c r="F74" s="2" t="str">
        <f>F2</f>
        <v>3-й мес</v>
      </c>
      <c r="G74" s="2" t="str">
        <f>G2</f>
        <v>4-й мес</v>
      </c>
      <c r="H74" s="2" t="str">
        <f>H2</f>
        <v>5-й мес</v>
      </c>
      <c r="I74" s="2" t="str">
        <f>I2</f>
        <v>6-й мес</v>
      </c>
      <c r="J74" s="2" t="str">
        <f>J2</f>
        <v>7-й мес</v>
      </c>
      <c r="K74" s="2" t="str">
        <f>K2</f>
        <v>8-й мес</v>
      </c>
      <c r="L74" s="2" t="str">
        <f>L2</f>
        <v>9-й мес</v>
      </c>
      <c r="M74" s="2" t="str">
        <f>M2</f>
        <v>10-й мес</v>
      </c>
      <c r="N74" s="2" t="str">
        <f>N2</f>
        <v>11-й мес</v>
      </c>
      <c r="O74" s="2" t="str">
        <f>O2</f>
        <v>12-й мес</v>
      </c>
      <c r="P74" s="2" t="str">
        <f>P2</f>
        <v>13-й мес</v>
      </c>
      <c r="Q74" s="2" t="str">
        <f>Q2</f>
        <v>14-й мес</v>
      </c>
      <c r="R74" s="2" t="str">
        <f>R2</f>
        <v>15-й мес</v>
      </c>
      <c r="S74" s="2" t="str">
        <f>S2</f>
        <v>16-й мес</v>
      </c>
      <c r="T74" s="2" t="str">
        <f>T2</f>
        <v>17-й мес</v>
      </c>
      <c r="U74" s="2" t="str">
        <f>U2</f>
        <v>18-й мес</v>
      </c>
      <c r="V74" s="2" t="str">
        <f>V2</f>
        <v>19-й мес</v>
      </c>
      <c r="W74" s="2" t="str">
        <f>W2</f>
        <v>20-й мес</v>
      </c>
      <c r="X74" s="2" t="str">
        <f>X2</f>
        <v>21-й мес</v>
      </c>
      <c r="Y74" s="2" t="str">
        <f>Y2</f>
        <v>22-й мес</v>
      </c>
      <c r="Z74" s="2" t="str">
        <f>Z2</f>
        <v>23-й мес</v>
      </c>
      <c r="AA74" s="2" t="str">
        <f>AA2</f>
        <v>24-й мес</v>
      </c>
      <c r="AB74" s="3" t="s">
        <v>49</v>
      </c>
      <c r="AC74" s="4" t="s">
        <v>50</v>
      </c>
      <c r="AD74" s="3" t="s">
        <v>51</v>
      </c>
    </row>
    <row r="75" spans="2:30" ht="15" hidden="1" x14ac:dyDescent="0.2">
      <c r="B75" s="18" t="s">
        <v>52</v>
      </c>
      <c r="C75" s="19"/>
      <c r="D75" s="20">
        <f>D4-D14</f>
        <v>426315.78947368421</v>
      </c>
      <c r="E75" s="20">
        <f>E4-E14</f>
        <v>852631.57894736843</v>
      </c>
      <c r="F75" s="20">
        <f>F4-F14</f>
        <v>1136842.105263158</v>
      </c>
      <c r="G75" s="20">
        <f>G4-G14</f>
        <v>1421052.6315789474</v>
      </c>
      <c r="H75" s="20">
        <f>H4-H14</f>
        <v>1705263.1578947369</v>
      </c>
      <c r="I75" s="20">
        <f>I4-I14</f>
        <v>1847368.4210526317</v>
      </c>
      <c r="J75" s="20">
        <f>J4-J14</f>
        <v>1989473.6842105265</v>
      </c>
      <c r="K75" s="20">
        <f>K4-K14</f>
        <v>2131578.9473684211</v>
      </c>
      <c r="L75" s="20">
        <f>L4-L14</f>
        <v>2273684.210526316</v>
      </c>
      <c r="M75" s="20">
        <f>M4-M14</f>
        <v>2415789.4736842108</v>
      </c>
      <c r="N75" s="20">
        <f>N4-N14</f>
        <v>2557894.7368421052</v>
      </c>
      <c r="O75" s="20">
        <f>O4-O14</f>
        <v>2700000</v>
      </c>
      <c r="P75" s="20">
        <f>P4-P14</f>
        <v>2700000</v>
      </c>
      <c r="Q75" s="20">
        <f>Q4-Q14</f>
        <v>2700000</v>
      </c>
      <c r="R75" s="20">
        <f>R4-R14</f>
        <v>2700000</v>
      </c>
      <c r="S75" s="20">
        <f>S4-S14</f>
        <v>2700000</v>
      </c>
      <c r="T75" s="20">
        <f>T4-T14</f>
        <v>2700000</v>
      </c>
      <c r="U75" s="20">
        <f>U4-U14</f>
        <v>2700000</v>
      </c>
      <c r="V75" s="20">
        <f>V4-V14</f>
        <v>2700000</v>
      </c>
      <c r="W75" s="20">
        <f>W4-W14</f>
        <v>2700000</v>
      </c>
      <c r="X75" s="20">
        <f>X4-X14</f>
        <v>2700000</v>
      </c>
      <c r="Y75" s="20">
        <f>Y4-Y14</f>
        <v>2700000</v>
      </c>
      <c r="Z75" s="20">
        <f>Z4-Z14</f>
        <v>2700000</v>
      </c>
      <c r="AA75" s="20">
        <f>AA4-AA14</f>
        <v>2700000</v>
      </c>
      <c r="AB75" s="20">
        <f>SUM(D75:O75)</f>
        <v>21457894.736842103</v>
      </c>
      <c r="AC75" s="20">
        <f>SUM(P75:AA75)</f>
        <v>32400000</v>
      </c>
      <c r="AD75" s="20" t="e">
        <f>SUM(#REF!)</f>
        <v>#REF!</v>
      </c>
    </row>
    <row r="76" spans="2:30" ht="15" hidden="1" x14ac:dyDescent="0.2">
      <c r="B76" s="18" t="s">
        <v>53</v>
      </c>
      <c r="C76" s="19"/>
      <c r="D76" s="20">
        <f t="shared" ref="D76:AA76" si="10">D75-D75/(100%+$C$87)</f>
        <v>55606.407322654442</v>
      </c>
      <c r="E76" s="20">
        <f t="shared" si="10"/>
        <v>111212.81464530888</v>
      </c>
      <c r="F76" s="20">
        <f t="shared" si="10"/>
        <v>148283.75286041189</v>
      </c>
      <c r="G76" s="20">
        <f t="shared" si="10"/>
        <v>185354.69107551477</v>
      </c>
      <c r="H76" s="20">
        <f t="shared" si="10"/>
        <v>222425.62929061777</v>
      </c>
      <c r="I76" s="20">
        <f t="shared" si="10"/>
        <v>240961.09839816927</v>
      </c>
      <c r="J76" s="20">
        <f t="shared" si="10"/>
        <v>259496.56750572077</v>
      </c>
      <c r="K76" s="20">
        <f t="shared" si="10"/>
        <v>278032.03661327227</v>
      </c>
      <c r="L76" s="20">
        <f t="shared" si="10"/>
        <v>296567.50572082377</v>
      </c>
      <c r="M76" s="20">
        <f t="shared" si="10"/>
        <v>315102.97482837504</v>
      </c>
      <c r="N76" s="20">
        <f t="shared" si="10"/>
        <v>333638.44393592654</v>
      </c>
      <c r="O76" s="20">
        <f t="shared" si="10"/>
        <v>352173.91304347804</v>
      </c>
      <c r="P76" s="20">
        <f t="shared" si="10"/>
        <v>352173.91304347804</v>
      </c>
      <c r="Q76" s="20">
        <f t="shared" si="10"/>
        <v>352173.91304347804</v>
      </c>
      <c r="R76" s="20">
        <f t="shared" si="10"/>
        <v>352173.91304347804</v>
      </c>
      <c r="S76" s="20">
        <f t="shared" si="10"/>
        <v>352173.91304347804</v>
      </c>
      <c r="T76" s="20">
        <f t="shared" si="10"/>
        <v>352173.91304347804</v>
      </c>
      <c r="U76" s="20">
        <f t="shared" si="10"/>
        <v>352173.91304347804</v>
      </c>
      <c r="V76" s="20">
        <f t="shared" si="10"/>
        <v>352173.91304347804</v>
      </c>
      <c r="W76" s="20">
        <f t="shared" si="10"/>
        <v>352173.91304347804</v>
      </c>
      <c r="X76" s="20">
        <f t="shared" si="10"/>
        <v>352173.91304347804</v>
      </c>
      <c r="Y76" s="20">
        <f t="shared" si="10"/>
        <v>352173.91304347804</v>
      </c>
      <c r="Z76" s="20">
        <f t="shared" si="10"/>
        <v>352173.91304347804</v>
      </c>
      <c r="AA76" s="20">
        <f t="shared" si="10"/>
        <v>352173.91304347804</v>
      </c>
      <c r="AB76" s="20">
        <f>SUM(D76:O76)</f>
        <v>2798855.8352402737</v>
      </c>
      <c r="AC76" s="20">
        <f>SUM(P76:AA76)</f>
        <v>4226086.9565217365</v>
      </c>
      <c r="AD76" s="20" t="e">
        <f>SUM(#REF!)</f>
        <v>#REF!</v>
      </c>
    </row>
    <row r="77" spans="2:30" ht="15" hidden="1" x14ac:dyDescent="0.2">
      <c r="B77" s="18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2:30" ht="15" hidden="1" x14ac:dyDescent="0.2">
      <c r="B78" s="18" t="s">
        <v>54</v>
      </c>
      <c r="C78" s="19"/>
      <c r="D78" s="20">
        <f>D76</f>
        <v>55606.407322654442</v>
      </c>
      <c r="E78" s="20">
        <f t="shared" ref="E78:AA78" si="11">D78+E76</f>
        <v>166819.22196796333</v>
      </c>
      <c r="F78" s="20">
        <f t="shared" si="11"/>
        <v>315102.97482837521</v>
      </c>
      <c r="G78" s="20">
        <f t="shared" si="11"/>
        <v>500457.66590388998</v>
      </c>
      <c r="H78" s="20">
        <f t="shared" si="11"/>
        <v>722883.29519450781</v>
      </c>
      <c r="I78" s="20">
        <f t="shared" si="11"/>
        <v>963844.39359267708</v>
      </c>
      <c r="J78" s="20">
        <f t="shared" si="11"/>
        <v>1223340.9610983978</v>
      </c>
      <c r="K78" s="20">
        <f t="shared" si="11"/>
        <v>1501372.9977116701</v>
      </c>
      <c r="L78" s="20">
        <f t="shared" si="11"/>
        <v>1797940.5034324939</v>
      </c>
      <c r="M78" s="20">
        <f t="shared" si="11"/>
        <v>2113043.4782608692</v>
      </c>
      <c r="N78" s="20">
        <f t="shared" si="11"/>
        <v>2446681.9221967957</v>
      </c>
      <c r="O78" s="20">
        <f t="shared" si="11"/>
        <v>2798855.8352402737</v>
      </c>
      <c r="P78" s="20">
        <f>O78+P76</f>
        <v>3151029.7482837518</v>
      </c>
      <c r="Q78" s="20">
        <f t="shared" si="11"/>
        <v>3503203.6613272298</v>
      </c>
      <c r="R78" s="20">
        <f t="shared" si="11"/>
        <v>3855377.5743707079</v>
      </c>
      <c r="S78" s="20">
        <f t="shared" si="11"/>
        <v>4207551.4874141859</v>
      </c>
      <c r="T78" s="20">
        <f t="shared" si="11"/>
        <v>4559725.4004576635</v>
      </c>
      <c r="U78" s="20">
        <f t="shared" si="11"/>
        <v>4911899.313501142</v>
      </c>
      <c r="V78" s="20">
        <f t="shared" si="11"/>
        <v>5264073.2265446205</v>
      </c>
      <c r="W78" s="20">
        <f t="shared" si="11"/>
        <v>5616247.139588099</v>
      </c>
      <c r="X78" s="20">
        <f t="shared" si="11"/>
        <v>5968421.0526315775</v>
      </c>
      <c r="Y78" s="20">
        <f t="shared" si="11"/>
        <v>6320594.965675056</v>
      </c>
      <c r="Z78" s="20">
        <f t="shared" si="11"/>
        <v>6672768.8787185345</v>
      </c>
      <c r="AA78" s="20">
        <f t="shared" si="11"/>
        <v>7024942.791762013</v>
      </c>
      <c r="AB78" s="20"/>
      <c r="AC78" s="20"/>
      <c r="AD78" s="20"/>
    </row>
    <row r="79" spans="2:30" ht="16.05" hidden="1" thickBot="1" x14ac:dyDescent="0.2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</row>
    <row r="80" spans="2:30" ht="15" hidden="1" x14ac:dyDescent="0.2"/>
    <row r="81" spans="2:30" ht="16.05" hidden="1" x14ac:dyDescent="0.2">
      <c r="B81" s="6" t="s">
        <v>55</v>
      </c>
      <c r="D81" s="11">
        <f t="shared" ref="D81:AA81" si="12">(D75-D76)*$C$87</f>
        <v>55606.407322654464</v>
      </c>
      <c r="E81" s="11">
        <f t="shared" si="12"/>
        <v>111212.81464530893</v>
      </c>
      <c r="F81" s="11">
        <f t="shared" si="12"/>
        <v>148283.75286041191</v>
      </c>
      <c r="G81" s="11">
        <f t="shared" si="12"/>
        <v>185354.69107551489</v>
      </c>
      <c r="H81" s="11">
        <f t="shared" si="12"/>
        <v>222425.62929061786</v>
      </c>
      <c r="I81" s="11">
        <f t="shared" si="12"/>
        <v>240961.09839816936</v>
      </c>
      <c r="J81" s="11">
        <f t="shared" si="12"/>
        <v>259496.56750572086</v>
      </c>
      <c r="K81" s="11">
        <f t="shared" si="12"/>
        <v>278032.03661327233</v>
      </c>
      <c r="L81" s="11">
        <f t="shared" si="12"/>
        <v>296567.50572082383</v>
      </c>
      <c r="M81" s="11">
        <f t="shared" si="12"/>
        <v>315102.97482837533</v>
      </c>
      <c r="N81" s="11">
        <f t="shared" si="12"/>
        <v>333638.44393592677</v>
      </c>
      <c r="O81" s="11">
        <f t="shared" si="12"/>
        <v>352173.91304347827</v>
      </c>
      <c r="P81" s="11">
        <f t="shared" si="12"/>
        <v>352173.91304347827</v>
      </c>
      <c r="Q81" s="11">
        <f t="shared" si="12"/>
        <v>352173.91304347827</v>
      </c>
      <c r="R81" s="11">
        <f t="shared" si="12"/>
        <v>352173.91304347827</v>
      </c>
      <c r="S81" s="11">
        <f t="shared" si="12"/>
        <v>352173.91304347827</v>
      </c>
      <c r="T81" s="11">
        <f t="shared" si="12"/>
        <v>352173.91304347827</v>
      </c>
      <c r="U81" s="11">
        <f t="shared" si="12"/>
        <v>352173.91304347827</v>
      </c>
      <c r="V81" s="11">
        <f t="shared" si="12"/>
        <v>352173.91304347827</v>
      </c>
      <c r="W81" s="11">
        <f t="shared" si="12"/>
        <v>352173.91304347827</v>
      </c>
      <c r="X81" s="11">
        <f t="shared" si="12"/>
        <v>352173.91304347827</v>
      </c>
      <c r="Y81" s="11">
        <f t="shared" si="12"/>
        <v>352173.91304347827</v>
      </c>
      <c r="Z81" s="11">
        <f t="shared" si="12"/>
        <v>352173.91304347827</v>
      </c>
      <c r="AA81" s="11">
        <f t="shared" si="12"/>
        <v>352173.91304347827</v>
      </c>
      <c r="AB81" s="21" t="s">
        <v>28</v>
      </c>
    </row>
    <row r="82" spans="2:30" ht="16.05" hidden="1" x14ac:dyDescent="0.2">
      <c r="B82" s="6" t="s">
        <v>56</v>
      </c>
      <c r="C82" s="7"/>
      <c r="D82" s="9">
        <f>D4</f>
        <v>810000</v>
      </c>
      <c r="E82" s="8">
        <f>D4+E4</f>
        <v>2430000</v>
      </c>
      <c r="F82" s="8">
        <f>E82+F4</f>
        <v>4590000</v>
      </c>
      <c r="G82" s="8">
        <f>F82+G4</f>
        <v>7290000</v>
      </c>
      <c r="H82" s="8">
        <f>G82+H4</f>
        <v>10530000</v>
      </c>
      <c r="I82" s="8">
        <f>H82+I4</f>
        <v>14040000</v>
      </c>
      <c r="J82" s="8">
        <f>I82+J4</f>
        <v>17820000</v>
      </c>
      <c r="K82" s="8">
        <f>J82+K4</f>
        <v>21870000</v>
      </c>
      <c r="L82" s="8">
        <f>K82+L4</f>
        <v>26190000</v>
      </c>
      <c r="M82" s="8">
        <f>L82+M4</f>
        <v>30780000</v>
      </c>
      <c r="N82" s="8">
        <f>M82+N4</f>
        <v>35640000</v>
      </c>
      <c r="O82" s="8">
        <f>N82+O4</f>
        <v>40770000</v>
      </c>
      <c r="P82" s="8">
        <f>O82+P4</f>
        <v>45900000</v>
      </c>
      <c r="Q82" s="8">
        <f>P82+Q4</f>
        <v>51030000</v>
      </c>
      <c r="R82" s="8">
        <f>Q82+R4</f>
        <v>56160000</v>
      </c>
      <c r="S82" s="8">
        <f>R82+S4</f>
        <v>61290000</v>
      </c>
      <c r="T82" s="8">
        <f>S82+T4</f>
        <v>66420000</v>
      </c>
      <c r="U82" s="8">
        <f>T82+U4</f>
        <v>71550000</v>
      </c>
      <c r="V82" s="8">
        <f>U82+V4</f>
        <v>76680000</v>
      </c>
      <c r="W82" s="8">
        <f>V82+W4</f>
        <v>81810000</v>
      </c>
      <c r="X82" s="8">
        <f>W82+X4</f>
        <v>86940000</v>
      </c>
      <c r="Y82" s="8">
        <f>X82+Y4</f>
        <v>92070000</v>
      </c>
      <c r="Z82" s="8">
        <f>Y82+Z4</f>
        <v>97200000</v>
      </c>
      <c r="AA82" s="8">
        <f>Z82+AA4</f>
        <v>102330000</v>
      </c>
      <c r="AB82" s="22">
        <f>SUM(AB4:AD4)</f>
        <v>102330000</v>
      </c>
      <c r="AC82" s="9"/>
      <c r="AD82" s="9"/>
    </row>
    <row r="83" spans="2:30" ht="16.05" hidden="1" x14ac:dyDescent="0.2">
      <c r="B83" s="6" t="s">
        <v>57</v>
      </c>
      <c r="C83" s="10"/>
      <c r="D83" s="8">
        <f>C13+D13</f>
        <v>1015000</v>
      </c>
      <c r="E83" s="8">
        <f t="shared" ref="E83:AA83" si="13">D83+E13</f>
        <v>2043400</v>
      </c>
      <c r="F83" s="8">
        <f t="shared" si="13"/>
        <v>3109600</v>
      </c>
      <c r="G83" s="8">
        <f t="shared" si="13"/>
        <v>4213600</v>
      </c>
      <c r="H83" s="8">
        <f t="shared" si="13"/>
        <v>5379400</v>
      </c>
      <c r="I83" s="8">
        <f t="shared" si="13"/>
        <v>6591100</v>
      </c>
      <c r="J83" s="8">
        <f t="shared" si="13"/>
        <v>7848700</v>
      </c>
      <c r="K83" s="8">
        <f t="shared" si="13"/>
        <v>9152200</v>
      </c>
      <c r="L83" s="8">
        <f t="shared" si="13"/>
        <v>10501600</v>
      </c>
      <c r="M83" s="8">
        <f t="shared" si="13"/>
        <v>11896900</v>
      </c>
      <c r="N83" s="8">
        <f t="shared" si="13"/>
        <v>13338100</v>
      </c>
      <c r="O83" s="8">
        <f t="shared" si="13"/>
        <v>14825200</v>
      </c>
      <c r="P83" s="8">
        <f>O83+P13</f>
        <v>16312300</v>
      </c>
      <c r="Q83" s="8">
        <f t="shared" si="13"/>
        <v>17799400</v>
      </c>
      <c r="R83" s="8">
        <f t="shared" si="13"/>
        <v>19286500</v>
      </c>
      <c r="S83" s="8">
        <f t="shared" si="13"/>
        <v>20773600</v>
      </c>
      <c r="T83" s="8">
        <f t="shared" si="13"/>
        <v>22260700</v>
      </c>
      <c r="U83" s="8">
        <f t="shared" si="13"/>
        <v>23747800</v>
      </c>
      <c r="V83" s="8">
        <f t="shared" si="13"/>
        <v>25234900</v>
      </c>
      <c r="W83" s="8">
        <f t="shared" si="13"/>
        <v>26722000</v>
      </c>
      <c r="X83" s="8">
        <f t="shared" si="13"/>
        <v>28209100</v>
      </c>
      <c r="Y83" s="8">
        <f t="shared" si="13"/>
        <v>29696200</v>
      </c>
      <c r="Z83" s="8">
        <f t="shared" si="13"/>
        <v>31183300</v>
      </c>
      <c r="AA83" s="8">
        <f t="shared" si="13"/>
        <v>32670400</v>
      </c>
      <c r="AB83" s="22">
        <f>SUM(AB14:AD14)</f>
        <v>48472105.263157897</v>
      </c>
      <c r="AC83" s="9"/>
      <c r="AD83" s="9"/>
    </row>
    <row r="84" spans="2:30" ht="16.05" hidden="1" x14ac:dyDescent="0.2">
      <c r="B84" s="6" t="s">
        <v>58</v>
      </c>
      <c r="C84" s="7"/>
      <c r="D84" s="11">
        <f>D14</f>
        <v>383684.21052631579</v>
      </c>
      <c r="E84" s="11">
        <f t="shared" ref="E84:AA84" si="14">E82-E82/(100%+$L$22)</f>
        <v>1151052.6315789474</v>
      </c>
      <c r="F84" s="11">
        <f t="shared" si="14"/>
        <v>2174210.5263157892</v>
      </c>
      <c r="G84" s="11">
        <f t="shared" si="14"/>
        <v>3453157.8947368418</v>
      </c>
      <c r="H84" s="11">
        <f t="shared" si="14"/>
        <v>4987894.7368421052</v>
      </c>
      <c r="I84" s="11">
        <f t="shared" si="14"/>
        <v>6650526.3157894732</v>
      </c>
      <c r="J84" s="11">
        <f t="shared" si="14"/>
        <v>8441052.6315789465</v>
      </c>
      <c r="K84" s="11">
        <f t="shared" si="14"/>
        <v>10359473.684210526</v>
      </c>
      <c r="L84" s="11">
        <f t="shared" si="14"/>
        <v>12405789.47368421</v>
      </c>
      <c r="M84" s="11">
        <f t="shared" si="14"/>
        <v>14580000</v>
      </c>
      <c r="N84" s="11">
        <f t="shared" si="14"/>
        <v>16882105.263157893</v>
      </c>
      <c r="O84" s="11">
        <f t="shared" si="14"/>
        <v>19312105.263157893</v>
      </c>
      <c r="P84" s="11">
        <f t="shared" si="14"/>
        <v>21742105.263157893</v>
      </c>
      <c r="Q84" s="11">
        <f t="shared" si="14"/>
        <v>24172105.263157893</v>
      </c>
      <c r="R84" s="11">
        <f t="shared" si="14"/>
        <v>26602105.263157893</v>
      </c>
      <c r="S84" s="11">
        <f t="shared" si="14"/>
        <v>29032105.263157893</v>
      </c>
      <c r="T84" s="11">
        <f t="shared" si="14"/>
        <v>31462105.263157897</v>
      </c>
      <c r="U84" s="11">
        <f t="shared" si="14"/>
        <v>33892105.263157897</v>
      </c>
      <c r="V84" s="11">
        <f t="shared" si="14"/>
        <v>36322105.263157889</v>
      </c>
      <c r="W84" s="11">
        <f t="shared" si="14"/>
        <v>38752105.263157889</v>
      </c>
      <c r="X84" s="11">
        <f t="shared" si="14"/>
        <v>41182105.263157889</v>
      </c>
      <c r="Y84" s="11">
        <f t="shared" si="14"/>
        <v>43612105.263157889</v>
      </c>
      <c r="Z84" s="11">
        <f t="shared" si="14"/>
        <v>46042105.263157889</v>
      </c>
      <c r="AA84" s="11">
        <f t="shared" si="14"/>
        <v>48472105.263157889</v>
      </c>
      <c r="AB84" s="22">
        <f>SUM(AB14:AD14)</f>
        <v>48472105.263157897</v>
      </c>
      <c r="AC84" s="9"/>
      <c r="AD84" s="9"/>
    </row>
    <row r="85" spans="2:30" ht="15" hidden="1" x14ac:dyDescent="0.2"/>
    <row r="86" spans="2:30" ht="15" hidden="1" x14ac:dyDescent="0.2"/>
    <row r="87" spans="2:30" ht="15" hidden="1" x14ac:dyDescent="0.2">
      <c r="B87" s="13" t="s">
        <v>34</v>
      </c>
      <c r="C87" s="24">
        <v>0.15</v>
      </c>
    </row>
    <row r="88" spans="2:30" ht="15" hidden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A17" sqref="AA17"/>
    </sheetView>
  </sheetViews>
  <sheetFormatPr defaultColWidth="8.6640625" defaultRowHeight="14.4" outlineLevelRow="1" x14ac:dyDescent="0.3"/>
  <cols>
    <col min="1" max="1" width="0.44140625" style="1" customWidth="1"/>
    <col min="2" max="2" width="46.44140625" style="1" customWidth="1"/>
    <col min="3" max="3" width="14.44140625" style="1" customWidth="1"/>
    <col min="4" max="27" width="13" style="1" customWidth="1"/>
    <col min="28" max="29" width="14.44140625" style="1" customWidth="1"/>
    <col min="30" max="30" width="14.6640625" style="1" customWidth="1"/>
    <col min="31" max="16384" width="8.6640625" style="1"/>
  </cols>
  <sheetData>
    <row r="1" spans="1:30" ht="1.95" customHeight="1" x14ac:dyDescent="0.2"/>
    <row r="2" spans="1:30" s="5" customFormat="1" ht="18" customHeight="1" x14ac:dyDescent="0.3">
      <c r="B2" s="120" t="s">
        <v>0</v>
      </c>
      <c r="C2" s="2" t="s">
        <v>61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  <c r="U2" s="2" t="s">
        <v>18</v>
      </c>
      <c r="V2" s="2" t="s">
        <v>19</v>
      </c>
      <c r="W2" s="2" t="s">
        <v>20</v>
      </c>
      <c r="X2" s="2" t="s">
        <v>21</v>
      </c>
      <c r="Y2" s="2" t="s">
        <v>22</v>
      </c>
      <c r="Z2" s="2" t="s">
        <v>23</v>
      </c>
      <c r="AA2" s="2" t="s">
        <v>24</v>
      </c>
      <c r="AB2" s="3" t="s">
        <v>25</v>
      </c>
      <c r="AC2" s="4" t="s">
        <v>26</v>
      </c>
    </row>
    <row r="3" spans="1:30" ht="16.95" customHeight="1" x14ac:dyDescent="0.2">
      <c r="B3" s="76"/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9"/>
      <c r="AC3" s="79"/>
    </row>
    <row r="4" spans="1:30" s="81" customFormat="1" ht="16.95" customHeight="1" x14ac:dyDescent="0.3">
      <c r="B4" s="99" t="s">
        <v>103</v>
      </c>
      <c r="C4" s="83"/>
      <c r="D4" s="84">
        <f>D5*$F$22</f>
        <v>1080000</v>
      </c>
      <c r="E4" s="84">
        <f>E5*$F$22</f>
        <v>2160000</v>
      </c>
      <c r="F4" s="84">
        <f>F5*$F$22</f>
        <v>2700000</v>
      </c>
      <c r="G4" s="84">
        <f>G5*$F$22</f>
        <v>3510000</v>
      </c>
      <c r="H4" s="84">
        <f>H5*$F$22</f>
        <v>4050000</v>
      </c>
      <c r="I4" s="84">
        <f>I5*$F$22</f>
        <v>4320000</v>
      </c>
      <c r="J4" s="84">
        <f>J5*$F$22</f>
        <v>4860000</v>
      </c>
      <c r="K4" s="84">
        <f>K5*$F$22</f>
        <v>5130000</v>
      </c>
      <c r="L4" s="84">
        <f>L5*$F$22</f>
        <v>5400000</v>
      </c>
      <c r="M4" s="84">
        <f>M5*$F$22</f>
        <v>5670000</v>
      </c>
      <c r="N4" s="84">
        <f>N5*$F$22</f>
        <v>5940000</v>
      </c>
      <c r="O4" s="84">
        <f>O5*$F$22</f>
        <v>6480000</v>
      </c>
      <c r="P4" s="84">
        <f>P5*$F$22</f>
        <v>6480000</v>
      </c>
      <c r="Q4" s="84">
        <f>Q5*$F$22</f>
        <v>6480000</v>
      </c>
      <c r="R4" s="84">
        <f>R5*$F$22</f>
        <v>6480000</v>
      </c>
      <c r="S4" s="84">
        <f>S5*$F$22</f>
        <v>6480000</v>
      </c>
      <c r="T4" s="84">
        <f>T5*$F$22</f>
        <v>6480000</v>
      </c>
      <c r="U4" s="84">
        <f>U5*$F$22</f>
        <v>6480000</v>
      </c>
      <c r="V4" s="84">
        <f>V5*$F$22</f>
        <v>6480000</v>
      </c>
      <c r="W4" s="84">
        <f>W5*$F$22</f>
        <v>6480000</v>
      </c>
      <c r="X4" s="84">
        <f>X5*$F$22</f>
        <v>6480000</v>
      </c>
      <c r="Y4" s="84">
        <f>Y5*$F$22</f>
        <v>6480000</v>
      </c>
      <c r="Z4" s="84">
        <f>Z5*$F$22</f>
        <v>6480000</v>
      </c>
      <c r="AA4" s="84">
        <f>AA5*$F$22</f>
        <v>6480000</v>
      </c>
      <c r="AB4" s="85">
        <f>SUM(D4:O4)</f>
        <v>51300000</v>
      </c>
      <c r="AC4" s="85">
        <f>SUM(P4:AA4)</f>
        <v>77760000</v>
      </c>
    </row>
    <row r="5" spans="1:30" s="81" customFormat="1" ht="16.95" customHeight="1" thickBot="1" x14ac:dyDescent="0.35">
      <c r="A5" s="86"/>
      <c r="B5" s="115" t="s">
        <v>104</v>
      </c>
      <c r="C5" s="87"/>
      <c r="D5" s="88">
        <f t="shared" ref="D5:F5" si="0">ROUNDDOWN($F$23*D28,0)</f>
        <v>4</v>
      </c>
      <c r="E5" s="88">
        <f t="shared" si="0"/>
        <v>8</v>
      </c>
      <c r="F5" s="88">
        <f t="shared" si="0"/>
        <v>10</v>
      </c>
      <c r="G5" s="88">
        <f>ROUNDDOWN($F$23*G28,0)</f>
        <v>13</v>
      </c>
      <c r="H5" s="88">
        <f>ROUNDDOWN($F$23*H28,0)</f>
        <v>15</v>
      </c>
      <c r="I5" s="88">
        <f>ROUNDDOWN($F$23*I28,0)</f>
        <v>16</v>
      </c>
      <c r="J5" s="88">
        <f t="shared" ref="J5:P5" si="1">ROUNDDOWN($F$23*J28,0)</f>
        <v>18</v>
      </c>
      <c r="K5" s="88">
        <f t="shared" si="1"/>
        <v>19</v>
      </c>
      <c r="L5" s="88">
        <f t="shared" si="1"/>
        <v>20</v>
      </c>
      <c r="M5" s="88">
        <f t="shared" si="1"/>
        <v>21</v>
      </c>
      <c r="N5" s="88">
        <f t="shared" si="1"/>
        <v>22</v>
      </c>
      <c r="O5" s="88">
        <f t="shared" si="1"/>
        <v>24</v>
      </c>
      <c r="P5" s="88">
        <f>$O$5</f>
        <v>24</v>
      </c>
      <c r="Q5" s="88">
        <f t="shared" ref="Q5:AA5" si="2">$O$5</f>
        <v>24</v>
      </c>
      <c r="R5" s="88">
        <f t="shared" si="2"/>
        <v>24</v>
      </c>
      <c r="S5" s="88">
        <f t="shared" si="2"/>
        <v>24</v>
      </c>
      <c r="T5" s="88">
        <f t="shared" si="2"/>
        <v>24</v>
      </c>
      <c r="U5" s="88">
        <f t="shared" si="2"/>
        <v>24</v>
      </c>
      <c r="V5" s="88">
        <f t="shared" si="2"/>
        <v>24</v>
      </c>
      <c r="W5" s="88">
        <f t="shared" si="2"/>
        <v>24</v>
      </c>
      <c r="X5" s="88">
        <f t="shared" si="2"/>
        <v>24</v>
      </c>
      <c r="Y5" s="88">
        <f t="shared" si="2"/>
        <v>24</v>
      </c>
      <c r="Z5" s="88">
        <f t="shared" si="2"/>
        <v>24</v>
      </c>
      <c r="AA5" s="88">
        <f t="shared" si="2"/>
        <v>24</v>
      </c>
      <c r="AB5" s="89">
        <f>SUM(D5:O5)</f>
        <v>190</v>
      </c>
      <c r="AC5" s="89">
        <f>SUM(P5:AA5)</f>
        <v>288</v>
      </c>
    </row>
    <row r="6" spans="1:30" s="81" customFormat="1" ht="16.95" customHeight="1" thickTop="1" x14ac:dyDescent="0.3">
      <c r="B6" s="99" t="s">
        <v>105</v>
      </c>
      <c r="C6" s="118">
        <f>C24*C26</f>
        <v>0</v>
      </c>
    </row>
    <row r="7" spans="1:30" s="81" customFormat="1" ht="16.95" customHeight="1" x14ac:dyDescent="0.3">
      <c r="B7" s="99" t="s">
        <v>114</v>
      </c>
      <c r="C7" s="118"/>
      <c r="D7" s="90">
        <f>D4*$H$25*(100%-$C$26)/(100%+$L$22)</f>
        <v>56842.1052631579</v>
      </c>
      <c r="E7" s="90">
        <f>E4*$H$25*(100%-$C$26)/(100%+$L$22)</f>
        <v>113684.2105263158</v>
      </c>
      <c r="F7" s="90">
        <f>IF(SUM(D7:E7)&gt;$C$24*(100%-$C$26),0,IF((SUM(D7:E7)+$H$25*F4/(100%+$L$22))&lt;=$C$24*(100%-$C$26),$H$25*F4/(100%+$L$22),IF((SUM(D7:E7)+$H$25*F4/(100%+$L$22))&gt;$C$24*(100%-$C$26),$C$24*(100%-$C$26)-SUM(D7:E7))))</f>
        <v>142105.26315789475</v>
      </c>
      <c r="G7" s="90">
        <f>IF(SUM(D7:F7)&gt;$C$24*(100%-$C$26),0,IF((SUM(D7:F7)+$H$25*G4/(100%+$L$22))&lt;=$C$24*(100%-$C$26),$H$25*G4/(100%+$L$22),IF((SUM(D7:F7)+$H$25*G4/(100%+$L$22))&gt;$C$24*(100%-$C$26),$C$24*(100%-$C$26)-SUM(D7:F7))))</f>
        <v>184736.84210526317</v>
      </c>
      <c r="H7" s="90">
        <f>IF(SUM(D7:G7)&gt;$C$24*(100%-$C$26),0,IF((SUM(D7:G7)+$H$25*H4/(100%+$L$22))&lt;=$C$24*(100%-$C$26),$H$25*H4/(100%+$L$22),IF((SUM(D7:G7)+$H$25*H4/(100%+$L$22))&gt;$C$24*(100%-$C$26),$C$24*(100%-$C$26)-SUM(D7:G7))))</f>
        <v>213157.89473684211</v>
      </c>
      <c r="I7" s="90">
        <f>IF(SUM(D7:H7)&gt;$C$24*(100%-$C$26),0,IF((SUM(D7:H7)+$H$25*I4/(100%+$L$22))&lt;=$C$24*(100%-$C$26),$H$25*I4/(100%+$L$22),IF((SUM(D7:H7)+$H$25*I4/(100%+$L$22))&gt;$C$24*(100%-$C$26),$C$24*(100%-$C$26)-SUM(D7:H7))))</f>
        <v>227368.4210526316</v>
      </c>
      <c r="J7" s="90">
        <f>IF(SUM(D7:I7)&gt;$C$24*(100%-$C$26),0,IF((SUM(D7:I7)+$H$25*J4/(100%+$L$22))&lt;=$C$24*(100%-$C$26),$H$25*J4/(100%+$L$22),IF((SUM(D7:I7)+$H$25*J4/(100%+$L$22))&gt;$C$24*(100%-$C$26),$C$24*(100%-$C$26)-SUM(D7:I7))))</f>
        <v>255789.47368421053</v>
      </c>
      <c r="K7" s="90">
        <f>IF(SUM(D7:J7)&gt;$C$24*(100%-$C$26),0,IF((SUM(D7:J7)+$H$25*K4/(100%+$L$22))&lt;=$C$24*(100%-$C$26),$H$25*K4/(100%+$L$22),IF((SUM(D7:J7)+$H$25*K4/(100%+$L$22))&gt;$C$24*(100%-$C$26),$C$24*(100%-$C$26)-SUM(D7:J7))))</f>
        <v>270000</v>
      </c>
      <c r="L7" s="90">
        <f>IF(SUM(D7:K7)&gt;$C$24*(100%-$C$26),0,IF((SUM(D7:K7)+$H$25*L4/(100%+$L$22))&lt;=$C$24*(100%-$C$26),$H$25*L4/(100%+$L$22),IF((SUM(D7:K7)+$H$25*L4/(100%+$L$22))&gt;$C$24*(100%-$C$26),$C$24*(100%-$C$26)-SUM(D7:K7))))</f>
        <v>284210.5263157895</v>
      </c>
      <c r="M7" s="90">
        <f>IF(SUM(D7:L7)&gt;$C$24*(100%-$C$26),0,IF((SUM(D7:L7)+$H$25*M4/(100%+$L$22))&lt;=$C$24*(100%-$C$26),$H$25*M4/(100%+$L$22),IF((SUM(D7:L7)+$H$25*M4/(100%+$L$22))&gt;$C$24*(100%-$C$26),$C$24*(100%-$C$26)-SUM(D7:L7))))</f>
        <v>298421.05263157899</v>
      </c>
      <c r="N7" s="90">
        <f>IF(SUM(D7:M7)&gt;$C$24*(100%-$C$26),0,IF((SUM(D7:M7)+$H$25*N4/(100%+$L$22))&lt;=$C$24*(100%-$C$26),$H$25*N4/(100%+$L$22),IF((SUM(D7:M7)+$H$25*N4/(100%+$L$22))&gt;$C$24*(100%-$C$26),$C$24*(100%-$C$26)-SUM(D7:M7))))</f>
        <v>312631.57894736843</v>
      </c>
      <c r="O7" s="90">
        <f>IF(SUM(D7:N7)&gt;=$C$24*(100%-$C$26),0,IF((SUM(D7:N7)+$H$25*O4/(100%+$L$22))&lt;=$C$24*(100%-$C$26),$H$25*O4/(100%+$L$22),IF((SUM(D7:N7)+$H$25*O4/(100%+$L$22))&gt;$C$24*(100%-$C$26),$C$24*(100%-$C$26)-SUM(D7:N7))))</f>
        <v>341052.63157894736</v>
      </c>
      <c r="P7" s="90">
        <f>IF(SUM(D7:O7)&gt;$C$24*(100%-$C$26),0,IF((SUM(D7:O7)+$H$25*P4/(100%+$L$22))&lt;=$C$24*(100%-$C$26),$H$25*P4/(100%+$L$22),IF((SUM(D7:O7)+$H$25*P4/(100%+$L$22))&gt;$C$24*(100%-$C$26),$C$24*(100%-$C$26)-SUM(D7:O7))))</f>
        <v>341052.63157894736</v>
      </c>
      <c r="Q7" s="90">
        <f>IF(SUM(D7:P7)&gt;$C$24*(100%-$C$26),0,IF((SUM(D7:P7)+$H$25*Q4/(100%+$L$22))&lt;=$C$24*(100%-$C$26),$H$25*Q4/(100%+$L$22),IF((SUM(D7:P7)+$H$25*Q4/(100%+$L$22))&gt;$C$24*(100%-$C$26),$C$24*(100%-$C$26)-SUM(D7:P7))))</f>
        <v>341052.63157894736</v>
      </c>
      <c r="R7" s="90">
        <f>IF(SUM(D7:Q7)&gt;$C$24*(100%-$C$26),0,IF((SUM(D7:Q7)+$H$25*R4/(100%+$L$22))&lt;=$C$24*(100%-$C$26),$H$25*R4/(100%+$L$22),IF((SUM(D7:Q7)+$H$25*R4/(100%+$L$22))&gt;$C$24*(100%-$C$26),$C$24*(100%-$C$26)-SUM(D7:Q7))))</f>
        <v>341052.63157894736</v>
      </c>
      <c r="S7" s="90">
        <f>IF(SUM(D7:R7)&gt;$C$24*(100%-$C$26),0,IF((SUM(D7:R7)+$H$25*S4/(100%+$L$22))&lt;=$C$24*(100%-$C$26),$H$25*S4/(100%+$L$22),IF((SUM(D7:R7)+$H$25*S4/(100%+$L$22))&gt;$C$24*(100%-$C$26),$C$24*(100%-$C$26)-SUM(D7:R7))))</f>
        <v>341052.63157894736</v>
      </c>
      <c r="T7" s="90">
        <f>IF(SUM(D7:S7)&gt;$C$24*(100%-$C$26),0,IF((SUM(D7:S7)+$H$25*T4/(100%+$L$22))&lt;=$C$24*(100%-$C$26),$H$25*T4/(100%+$L$22),IF((SUM(D7:S7)+$H$25*T4/(100%+$L$22))&gt;$C$24*(100%-$C$26),$C$24*(100%-$C$26)-SUM(D7:S7))))</f>
        <v>341052.63157894736</v>
      </c>
      <c r="U7" s="90">
        <f>IF(SUM(D7:T7)&gt;$C$24*(100%-$C$26),0,IF((SUM(D7:T7)+$H$25*U4/(100%+$L$22))&lt;=$C$24*(100%-$C$26),$H$25*U4/(100%+$L$22),IF((SUM(D7:T7)+$H$25*U4/(100%+$L$22))&gt;$C$24*(100%-$C$26),$C$24*(100%-$C$26)-SUM(D7:T7))))</f>
        <v>341052.63157894736</v>
      </c>
      <c r="V7" s="90">
        <f>IF(SUM(D7:U7)&gt;$C$24*(100%-$C$26),0,IF((SUM(D7:U7)+$H$25*V4/(100%+$L$22))&lt;=$C$24*(100%-$C$26),$H$25*V4/(100%+$L$22),IF((SUM(D7:U7)+$H$25*V4/(100%+$L$22))&gt;$C$24*(100%-$C$26),$C$24*(100%-$C$26)-SUM(D7:U7))))</f>
        <v>341052.63157894736</v>
      </c>
      <c r="W7" s="90">
        <f>IF(SUM(D7:V7)&gt;=$C$24*(100%-$C$26),0,IF((SUM(D7:V7)+$H$25*W4/(100%+$L$22))&lt;=$C$24*(100%-$C$26),$H$25*W4/(100%+$L$22),IF((SUM(D7:V7)+$H$25*W4/(100%+$L$22))&gt;=$C$24*(100%-$C$26),$C$24*(100%-$C$26)-SUM(D7:V7))))</f>
        <v>341052.63157894736</v>
      </c>
      <c r="X7" s="90">
        <f>IF(SUM(D7:W7)&gt;=$C$24*(100%-$C$26),0,IF((SUM(D7:W7)+$H$25*X4/(100%+$L$22))&lt;=$C$24*(100%-$C$26),$H$25*X4/(100%+$L$22),IF((SUM(D7:W7)+$H$25*X4/(100%+$L$22))&gt;=$C$24*(100%-$C$26),$C$24*(100%-$C$26)-SUM(D7:W7))))</f>
        <v>341052.63157894736</v>
      </c>
      <c r="Y7" s="90">
        <f>IF(SUM(D7:X7)&gt;=$C$24*(100%-$C$26),0,IF((SUM(D7:X7)+$H$25*Y4/(100%+$L$22))&lt;=$C$24*(100%-$C$26),$H$25*Y4/(100%+$L$22),IF((SUM(D7:X7)+$H$25*Y4/(100%+$L$22))&gt;=$C$24*(100%-$C$26),$C$24*(100%-$C$26)-SUM(D7:X7))))</f>
        <v>341052.63157894736</v>
      </c>
      <c r="Z7" s="90">
        <f>IF(SUM(D7:Y7)&gt;=$C$24*(100%-$C$26),0,IF((SUM(D7:Y7)+$H$25*Z4/(100%+$L$22))&lt;=$C$24*(100%-$C$26),$H$25*Z4/(100%+$L$22),IF((SUM(D7:Y7)+$H$25*Z4/(100%+$L$22))&gt;=$C$24*(100%-$C$26),$C$24*(100%-$C$26)-SUM(D7:Y7))))</f>
        <v>341052.63157894736</v>
      </c>
      <c r="AA7" s="171">
        <f>IF((C24*(100%-$C$26)-SUM(D7:Z7))&gt;=0,(C24*(100%-$C$26)-SUM(D7:Z7)),0)</f>
        <v>748421.05263157841</v>
      </c>
      <c r="AB7" s="85">
        <f>SUM(D7:O7)</f>
        <v>2700000</v>
      </c>
      <c r="AC7" s="85">
        <f>SUM(P7:AA7)</f>
        <v>4500000</v>
      </c>
      <c r="AD7" s="126">
        <f>AB7+AC7</f>
        <v>7200000</v>
      </c>
    </row>
    <row r="8" spans="1:30" s="81" customFormat="1" ht="16.95" customHeight="1" thickBot="1" x14ac:dyDescent="0.35">
      <c r="B8" s="115" t="s">
        <v>70</v>
      </c>
      <c r="C8" s="119">
        <f>C25</f>
        <v>1925000</v>
      </c>
      <c r="D8" s="87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9"/>
      <c r="AC8" s="89"/>
    </row>
    <row r="9" spans="1:30" s="81" customFormat="1" ht="16.95" customHeight="1" thickTop="1" x14ac:dyDescent="0.3">
      <c r="B9" s="99" t="s">
        <v>106</v>
      </c>
      <c r="C9" s="83"/>
      <c r="D9" s="90">
        <f t="shared" ref="D9:AA9" si="3">$C$23</f>
        <v>480000</v>
      </c>
      <c r="E9" s="90">
        <f t="shared" si="3"/>
        <v>480000</v>
      </c>
      <c r="F9" s="90">
        <f t="shared" si="3"/>
        <v>480000</v>
      </c>
      <c r="G9" s="90">
        <f t="shared" si="3"/>
        <v>480000</v>
      </c>
      <c r="H9" s="90">
        <f>$C$23</f>
        <v>480000</v>
      </c>
      <c r="I9" s="90">
        <f t="shared" si="3"/>
        <v>480000</v>
      </c>
      <c r="J9" s="90">
        <f t="shared" si="3"/>
        <v>480000</v>
      </c>
      <c r="K9" s="90">
        <f t="shared" si="3"/>
        <v>480000</v>
      </c>
      <c r="L9" s="90">
        <f t="shared" si="3"/>
        <v>480000</v>
      </c>
      <c r="M9" s="90">
        <f t="shared" si="3"/>
        <v>480000</v>
      </c>
      <c r="N9" s="90">
        <f t="shared" si="3"/>
        <v>480000</v>
      </c>
      <c r="O9" s="90">
        <f t="shared" si="3"/>
        <v>480000</v>
      </c>
      <c r="P9" s="90">
        <f t="shared" si="3"/>
        <v>480000</v>
      </c>
      <c r="Q9" s="90">
        <f t="shared" si="3"/>
        <v>480000</v>
      </c>
      <c r="R9" s="90">
        <f t="shared" si="3"/>
        <v>480000</v>
      </c>
      <c r="S9" s="90">
        <f t="shared" si="3"/>
        <v>480000</v>
      </c>
      <c r="T9" s="90">
        <f t="shared" si="3"/>
        <v>480000</v>
      </c>
      <c r="U9" s="90">
        <f t="shared" si="3"/>
        <v>480000</v>
      </c>
      <c r="V9" s="90">
        <f t="shared" si="3"/>
        <v>480000</v>
      </c>
      <c r="W9" s="90">
        <f t="shared" si="3"/>
        <v>480000</v>
      </c>
      <c r="X9" s="90">
        <f t="shared" si="3"/>
        <v>480000</v>
      </c>
      <c r="Y9" s="90">
        <f t="shared" si="3"/>
        <v>480000</v>
      </c>
      <c r="Z9" s="90">
        <f t="shared" si="3"/>
        <v>480000</v>
      </c>
      <c r="AA9" s="90">
        <f t="shared" si="3"/>
        <v>480000</v>
      </c>
      <c r="AB9" s="85">
        <f t="shared" ref="AB9" si="4">SUM(D9:O9)</f>
        <v>5760000</v>
      </c>
      <c r="AC9" s="85">
        <f t="shared" ref="AC9" si="5">SUM(P9:AA9)</f>
        <v>5760000</v>
      </c>
    </row>
    <row r="10" spans="1:30" s="81" customFormat="1" ht="16.95" customHeight="1" x14ac:dyDescent="0.3">
      <c r="B10" s="99" t="s">
        <v>27</v>
      </c>
      <c r="C10" s="91"/>
      <c r="D10" s="84">
        <f>IF(D4*$H$23&lt;$H$22,$H$22,D4*$H$23)</f>
        <v>100000</v>
      </c>
      <c r="E10" s="84">
        <f>IF(E4*$H$23&lt;$H$22,$H$22,E4*$H$23)</f>
        <v>151200</v>
      </c>
      <c r="F10" s="84">
        <f>IF(F4*$H$23&lt;$H$22,$H$22,F4*$H$23)</f>
        <v>189000.00000000003</v>
      </c>
      <c r="G10" s="84">
        <f>IF(G4*$H$23&lt;$H$22,$H$22,G4*$H$23)</f>
        <v>245700.00000000003</v>
      </c>
      <c r="H10" s="84">
        <f>IF(H4*$H$23&lt;$H$22,$H$22,H4*$H$23)</f>
        <v>283500</v>
      </c>
      <c r="I10" s="84">
        <f>IF(I4*$H$23&lt;$H$22,$H$22,I4*$H$23)</f>
        <v>302400</v>
      </c>
      <c r="J10" s="84">
        <f>IF(J4*$H$23&lt;$H$22,$H$22,J4*$H$23)</f>
        <v>340200.00000000006</v>
      </c>
      <c r="K10" s="84">
        <f>IF(K4*$H$23&lt;$H$22,$H$22,K4*$H$23)</f>
        <v>359100.00000000006</v>
      </c>
      <c r="L10" s="84">
        <f>IF(L4*$H$23&lt;$H$22,$H$22,L4*$H$23)</f>
        <v>378000.00000000006</v>
      </c>
      <c r="M10" s="84">
        <f>IF(M4*$H$23&lt;$H$22,$H$22,M4*$H$23)</f>
        <v>396900.00000000006</v>
      </c>
      <c r="N10" s="84">
        <f>IF(N4*$H$23&lt;$H$22,$H$22,N4*$H$23)</f>
        <v>415800.00000000006</v>
      </c>
      <c r="O10" s="84">
        <f>IF(O4*$H$23&lt;$H$22,$H$22,O4*$H$23)</f>
        <v>453600.00000000006</v>
      </c>
      <c r="P10" s="84">
        <f>IF(P4*$H$23&lt;$H$22,$H$22,P4*$H$23)</f>
        <v>453600.00000000006</v>
      </c>
      <c r="Q10" s="84">
        <f>IF(Q4*$H$23&lt;$H$22,$H$22,Q4*$H$23)</f>
        <v>453600.00000000006</v>
      </c>
      <c r="R10" s="84">
        <f>IF(R4*$H$23&lt;$H$22,$H$22,R4*$H$23)</f>
        <v>453600.00000000006</v>
      </c>
      <c r="S10" s="84">
        <f>IF(S4*$H$23&lt;$H$22,$H$22,S4*$H$23)</f>
        <v>453600.00000000006</v>
      </c>
      <c r="T10" s="84">
        <f>IF(T4*$H$23&lt;$H$22,$H$22,T4*$H$23)</f>
        <v>453600.00000000006</v>
      </c>
      <c r="U10" s="84">
        <f>IF(U4*$H$23&lt;$H$22,$H$22,U4*$H$23)</f>
        <v>453600.00000000006</v>
      </c>
      <c r="V10" s="84">
        <f>IF(V4*$H$23&lt;$H$22,$H$22,V4*$H$23)</f>
        <v>453600.00000000006</v>
      </c>
      <c r="W10" s="84">
        <f>IF(W4*$H$23&lt;$H$22,$H$22,W4*$H$23)</f>
        <v>453600.00000000006</v>
      </c>
      <c r="X10" s="84">
        <f>IF(X4*$H$23&lt;$H$22,$H$22,X4*$H$23)</f>
        <v>453600.00000000006</v>
      </c>
      <c r="Y10" s="84">
        <f>IF(Y4*$H$23&lt;$H$22,$H$22,Y4*$H$23)</f>
        <v>453600.00000000006</v>
      </c>
      <c r="Z10" s="84">
        <f>IF(Z4*$H$23&lt;$H$22,$H$22,Z4*$H$23)</f>
        <v>453600.00000000006</v>
      </c>
      <c r="AA10" s="84">
        <f>IF(AA4*$H$23&lt;$H$22,$H$22,AA4*$H$23)</f>
        <v>453600.00000000006</v>
      </c>
      <c r="AB10" s="85">
        <f t="shared" ref="AB10:AB13" si="6">SUM(D10:O10)</f>
        <v>3615400</v>
      </c>
      <c r="AC10" s="85">
        <f t="shared" ref="AC10:AC13" si="7">SUM(P10:AA10)</f>
        <v>5443200.0000000009</v>
      </c>
    </row>
    <row r="11" spans="1:30" s="81" customFormat="1" ht="16.95" customHeight="1" x14ac:dyDescent="0.3">
      <c r="B11" s="99" t="s">
        <v>93</v>
      </c>
      <c r="C11" s="91"/>
      <c r="D11" s="84">
        <f t="shared" ref="D11:AA11" si="8">$L$23</f>
        <v>250000</v>
      </c>
      <c r="E11" s="84">
        <f t="shared" si="8"/>
        <v>250000</v>
      </c>
      <c r="F11" s="84">
        <f t="shared" si="8"/>
        <v>250000</v>
      </c>
      <c r="G11" s="84">
        <f t="shared" si="8"/>
        <v>250000</v>
      </c>
      <c r="H11" s="84">
        <f t="shared" si="8"/>
        <v>250000</v>
      </c>
      <c r="I11" s="84">
        <f t="shared" si="8"/>
        <v>250000</v>
      </c>
      <c r="J11" s="84">
        <f t="shared" si="8"/>
        <v>250000</v>
      </c>
      <c r="K11" s="84">
        <f t="shared" si="8"/>
        <v>250000</v>
      </c>
      <c r="L11" s="84">
        <f t="shared" si="8"/>
        <v>250000</v>
      </c>
      <c r="M11" s="84">
        <f t="shared" si="8"/>
        <v>250000</v>
      </c>
      <c r="N11" s="84">
        <f t="shared" si="8"/>
        <v>250000</v>
      </c>
      <c r="O11" s="84">
        <f t="shared" si="8"/>
        <v>250000</v>
      </c>
      <c r="P11" s="84">
        <f t="shared" si="8"/>
        <v>250000</v>
      </c>
      <c r="Q11" s="84">
        <f t="shared" si="8"/>
        <v>250000</v>
      </c>
      <c r="R11" s="84">
        <f t="shared" si="8"/>
        <v>250000</v>
      </c>
      <c r="S11" s="84">
        <f t="shared" si="8"/>
        <v>250000</v>
      </c>
      <c r="T11" s="84">
        <f t="shared" si="8"/>
        <v>250000</v>
      </c>
      <c r="U11" s="84">
        <f t="shared" si="8"/>
        <v>250000</v>
      </c>
      <c r="V11" s="84">
        <f t="shared" si="8"/>
        <v>250000</v>
      </c>
      <c r="W11" s="84">
        <f t="shared" si="8"/>
        <v>250000</v>
      </c>
      <c r="X11" s="84">
        <f t="shared" si="8"/>
        <v>250000</v>
      </c>
      <c r="Y11" s="84">
        <f t="shared" si="8"/>
        <v>250000</v>
      </c>
      <c r="Z11" s="84">
        <f t="shared" si="8"/>
        <v>250000</v>
      </c>
      <c r="AA11" s="84">
        <f t="shared" si="8"/>
        <v>250000</v>
      </c>
      <c r="AB11" s="85">
        <f t="shared" si="6"/>
        <v>3000000</v>
      </c>
      <c r="AC11" s="85">
        <f t="shared" si="7"/>
        <v>3000000</v>
      </c>
    </row>
    <row r="12" spans="1:30" s="81" customFormat="1" ht="16.95" customHeight="1" x14ac:dyDescent="0.3">
      <c r="B12" s="116" t="s">
        <v>107</v>
      </c>
      <c r="C12" s="92"/>
      <c r="D12" s="93">
        <f>IF(D4*$L$25&lt;$L$24,$L$24,$L$25*D4)</f>
        <v>300000</v>
      </c>
      <c r="E12" s="93">
        <f>IF(E4*$L$25&lt;$L$24,$L$24,$L$25*E4)</f>
        <v>300000</v>
      </c>
      <c r="F12" s="93">
        <f>IF(F4*$L$25&lt;$L$24,$L$24,$L$25*F4)</f>
        <v>300000</v>
      </c>
      <c r="G12" s="93">
        <f>IF(G4*$L$25&lt;$L$24,$L$24,$L$25*G4)</f>
        <v>351000</v>
      </c>
      <c r="H12" s="93">
        <f>IF(H4*$L$25&lt;$L$24,$L$24,$L$25*H4)</f>
        <v>405000</v>
      </c>
      <c r="I12" s="93">
        <f>IF(I4*$L$25&lt;$L$24,$L$24,$L$25*I4)</f>
        <v>432000</v>
      </c>
      <c r="J12" s="93">
        <f>IF(J4*$L$25&lt;$L$24,$L$24,$L$25*J4)</f>
        <v>486000</v>
      </c>
      <c r="K12" s="93">
        <f>IF(K4*$L$25&lt;$L$24,$L$24,$L$25*K4)</f>
        <v>513000</v>
      </c>
      <c r="L12" s="93">
        <f>IF(L4*$L$25&lt;$L$24,$L$24,$L$25*L4)</f>
        <v>540000</v>
      </c>
      <c r="M12" s="93">
        <f>IF(M4*$L$25&lt;$L$24,$L$24,$L$25*M4)</f>
        <v>567000</v>
      </c>
      <c r="N12" s="93">
        <f>IF(N4*$L$25&lt;$L$24,$L$24,$L$25*N4)</f>
        <v>594000</v>
      </c>
      <c r="O12" s="93">
        <f>IF(O4*$L$25&lt;$L$24,$L$24,$L$25*O4)</f>
        <v>648000</v>
      </c>
      <c r="P12" s="93">
        <f>IF(P4*$L$25&lt;$L$24,$L$24,$L$25*P4)</f>
        <v>648000</v>
      </c>
      <c r="Q12" s="93">
        <f>IF(Q4*$L$25&lt;$L$24,$L$24,$L$25*Q4)</f>
        <v>648000</v>
      </c>
      <c r="R12" s="93">
        <f>IF(R4*$L$25&lt;$L$24,$L$24,$L$25*R4)</f>
        <v>648000</v>
      </c>
      <c r="S12" s="93">
        <f>IF(S4*$L$25&lt;$L$24,$L$24,$L$25*S4)</f>
        <v>648000</v>
      </c>
      <c r="T12" s="93">
        <f>IF(T4*$L$25&lt;$L$24,$L$24,$L$25*T4)</f>
        <v>648000</v>
      </c>
      <c r="U12" s="93">
        <f>IF(U4*$L$25&lt;$L$24,$L$24,$L$25*U4)</f>
        <v>648000</v>
      </c>
      <c r="V12" s="93">
        <f>IF(V4*$L$25&lt;$L$24,$L$24,$L$25*V4)</f>
        <v>648000</v>
      </c>
      <c r="W12" s="93">
        <f>IF(W4*$L$25&lt;$L$24,$L$24,$L$25*W4)</f>
        <v>648000</v>
      </c>
      <c r="X12" s="93">
        <f>IF(X4*$L$25&lt;$L$24,$L$24,$L$25*X4)</f>
        <v>648000</v>
      </c>
      <c r="Y12" s="93">
        <f>IF(Y4*$L$25&lt;$L$24,$L$24,$L$25*Y4)</f>
        <v>648000</v>
      </c>
      <c r="Z12" s="93">
        <f>IF(Z4*$L$25&lt;$L$24,$L$24,$L$25*Z4)</f>
        <v>648000</v>
      </c>
      <c r="AA12" s="93">
        <f>IF(AA4*$L$25&lt;$L$24,$L$24,$L$25*AA4)</f>
        <v>648000</v>
      </c>
      <c r="AB12" s="94">
        <f t="shared" si="6"/>
        <v>5436000</v>
      </c>
      <c r="AC12" s="94">
        <f t="shared" si="7"/>
        <v>7776000</v>
      </c>
    </row>
    <row r="13" spans="1:30" s="81" customFormat="1" ht="16.95" customHeight="1" thickBot="1" x14ac:dyDescent="0.35">
      <c r="B13" s="115" t="s">
        <v>108</v>
      </c>
      <c r="C13" s="95"/>
      <c r="D13" s="96">
        <f>SUM(D9:D12)</f>
        <v>1130000</v>
      </c>
      <c r="E13" s="96">
        <f>SUM(E9:E12)</f>
        <v>1181200</v>
      </c>
      <c r="F13" s="96">
        <f>SUM(F9:F12)</f>
        <v>1219000</v>
      </c>
      <c r="G13" s="96">
        <f>SUM(G9:G12)</f>
        <v>1326700</v>
      </c>
      <c r="H13" s="96">
        <f>SUM(H9:H12)</f>
        <v>1418500</v>
      </c>
      <c r="I13" s="96">
        <f>SUM(I9:I12)</f>
        <v>1464400</v>
      </c>
      <c r="J13" s="96">
        <f>SUM(J9:J12)</f>
        <v>1556200</v>
      </c>
      <c r="K13" s="96">
        <f>SUM(K9:K12)</f>
        <v>1602100</v>
      </c>
      <c r="L13" s="96">
        <f>SUM(L9:L12)</f>
        <v>1648000</v>
      </c>
      <c r="M13" s="96">
        <f>SUM(M9:M12)</f>
        <v>1693900</v>
      </c>
      <c r="N13" s="96">
        <f>SUM(N9:N12)</f>
        <v>1739800</v>
      </c>
      <c r="O13" s="96">
        <f>SUM(O9:O12)</f>
        <v>1831600</v>
      </c>
      <c r="P13" s="96">
        <f>SUM(P9:P12)</f>
        <v>1831600</v>
      </c>
      <c r="Q13" s="96">
        <f>SUM(Q9:Q12)</f>
        <v>1831600</v>
      </c>
      <c r="R13" s="96">
        <f>SUM(R9:R12)</f>
        <v>1831600</v>
      </c>
      <c r="S13" s="96">
        <f>SUM(S9:S12)</f>
        <v>1831600</v>
      </c>
      <c r="T13" s="96">
        <f>SUM(T9:T12)</f>
        <v>1831600</v>
      </c>
      <c r="U13" s="96">
        <f>SUM(U9:U12)</f>
        <v>1831600</v>
      </c>
      <c r="V13" s="96">
        <f>SUM(V9:V12)</f>
        <v>1831600</v>
      </c>
      <c r="W13" s="96">
        <f>SUM(W9:W12)</f>
        <v>1831600</v>
      </c>
      <c r="X13" s="96">
        <f>SUM(X9:X12)</f>
        <v>1831600</v>
      </c>
      <c r="Y13" s="96">
        <f>SUM(Y9:Y12)</f>
        <v>1831600</v>
      </c>
      <c r="Z13" s="96">
        <f>SUM(Z9:Z12)</f>
        <v>1831600</v>
      </c>
      <c r="AA13" s="96">
        <f>SUM(AA9:AA12)</f>
        <v>1831600</v>
      </c>
      <c r="AB13" s="89">
        <f t="shared" si="6"/>
        <v>17811400</v>
      </c>
      <c r="AC13" s="89">
        <f t="shared" si="7"/>
        <v>21979200</v>
      </c>
    </row>
    <row r="14" spans="1:30" s="81" customFormat="1" ht="16.95" customHeight="1" thickTop="1" x14ac:dyDescent="0.3">
      <c r="B14" s="99" t="s">
        <v>109</v>
      </c>
      <c r="C14" s="91"/>
      <c r="D14" s="93">
        <f>D4-D4/(100%+$L$22)</f>
        <v>511578.94736842101</v>
      </c>
      <c r="E14" s="93">
        <f>E4-E4/(100%+$L$22)</f>
        <v>1023157.894736842</v>
      </c>
      <c r="F14" s="93">
        <f>F4-F4/(100%+$L$22)</f>
        <v>1278947.3684210526</v>
      </c>
      <c r="G14" s="93">
        <f>G4-G4/(100%+$L$22)</f>
        <v>1662631.5789473683</v>
      </c>
      <c r="H14" s="93">
        <f>H4-H4/(100%+$L$22)</f>
        <v>1918421.0526315789</v>
      </c>
      <c r="I14" s="93">
        <f>I4-I4/(100%+$L$22)</f>
        <v>2046315.789473684</v>
      </c>
      <c r="J14" s="93">
        <f>J4-J4/(100%+$L$22)</f>
        <v>2302105.2631578948</v>
      </c>
      <c r="K14" s="93">
        <f>K4-K4/(100%+$L$22)</f>
        <v>2430000</v>
      </c>
      <c r="L14" s="93">
        <f>L4-L4/(100%+$L$22)</f>
        <v>2557894.7368421052</v>
      </c>
      <c r="M14" s="93">
        <f>M4-M4/(100%+$L$22)</f>
        <v>2685789.4736842103</v>
      </c>
      <c r="N14" s="93">
        <f>N4-N4/(100%+$L$22)</f>
        <v>2813684.2105263155</v>
      </c>
      <c r="O14" s="93">
        <f>O4-O4/(100%+$L$22)</f>
        <v>3069473.6842105263</v>
      </c>
      <c r="P14" s="93">
        <f>P4-P4/(100%+$L$22)</f>
        <v>3069473.6842105263</v>
      </c>
      <c r="Q14" s="93">
        <f>Q4-Q4/(100%+$L$22)</f>
        <v>3069473.6842105263</v>
      </c>
      <c r="R14" s="93">
        <f>R4-R4/(100%+$L$22)</f>
        <v>3069473.6842105263</v>
      </c>
      <c r="S14" s="93">
        <f>S4-S4/(100%+$L$22)</f>
        <v>3069473.6842105263</v>
      </c>
      <c r="T14" s="93">
        <f>T4-T4/(100%+$L$22)</f>
        <v>3069473.6842105263</v>
      </c>
      <c r="U14" s="93">
        <f>U4-U4/(100%+$L$22)</f>
        <v>3069473.6842105263</v>
      </c>
      <c r="V14" s="93">
        <f>V4-V4/(100%+$L$22)</f>
        <v>3069473.6842105263</v>
      </c>
      <c r="W14" s="93">
        <f>W4-W4/(100%+$L$22)</f>
        <v>3069473.6842105263</v>
      </c>
      <c r="X14" s="93">
        <f>X4-X4/(100%+$L$22)</f>
        <v>3069473.6842105263</v>
      </c>
      <c r="Y14" s="93">
        <f>Y4-Y4/(100%+$L$22)</f>
        <v>3069473.6842105263</v>
      </c>
      <c r="Z14" s="93">
        <f>Z4-Z4/(100%+$L$22)</f>
        <v>3069473.6842105263</v>
      </c>
      <c r="AA14" s="93">
        <f>AA4-AA4/(100%+$L$22)</f>
        <v>3069473.6842105263</v>
      </c>
      <c r="AB14" s="94">
        <f>SUM(D14:O14)</f>
        <v>24300000.000000004</v>
      </c>
      <c r="AC14" s="94">
        <f>SUM(P14:AA14)</f>
        <v>36833684.210526317</v>
      </c>
    </row>
    <row r="15" spans="1:30" s="81" customFormat="1" ht="16.95" customHeight="1" x14ac:dyDescent="0.3">
      <c r="B15" s="99" t="s">
        <v>86</v>
      </c>
      <c r="C15" s="91"/>
      <c r="D15" s="84">
        <f t="shared" ref="D15:AA15" si="9">IF((D14-D13)&lt;0,0,(D14-D13)*$H$24)</f>
        <v>0</v>
      </c>
      <c r="E15" s="84">
        <f t="shared" si="9"/>
        <v>0</v>
      </c>
      <c r="F15" s="84">
        <f t="shared" si="9"/>
        <v>8992.1052631578877</v>
      </c>
      <c r="G15" s="84">
        <f t="shared" si="9"/>
        <v>50389.736842105245</v>
      </c>
      <c r="H15" s="84">
        <f t="shared" si="9"/>
        <v>74988.157894736825</v>
      </c>
      <c r="I15" s="84">
        <f t="shared" si="9"/>
        <v>87287.368421052597</v>
      </c>
      <c r="J15" s="84">
        <f t="shared" si="9"/>
        <v>111885.78947368423</v>
      </c>
      <c r="K15" s="84">
        <f t="shared" si="9"/>
        <v>124185</v>
      </c>
      <c r="L15" s="84">
        <f t="shared" si="9"/>
        <v>136484.21052631576</v>
      </c>
      <c r="M15" s="84">
        <f t="shared" si="9"/>
        <v>148783.42105263154</v>
      </c>
      <c r="N15" s="84">
        <f t="shared" si="9"/>
        <v>161082.63157894733</v>
      </c>
      <c r="O15" s="84">
        <f t="shared" si="9"/>
        <v>185681.05263157893</v>
      </c>
      <c r="P15" s="84">
        <f t="shared" si="9"/>
        <v>185681.05263157893</v>
      </c>
      <c r="Q15" s="84">
        <f t="shared" si="9"/>
        <v>185681.05263157893</v>
      </c>
      <c r="R15" s="84">
        <f t="shared" si="9"/>
        <v>185681.05263157893</v>
      </c>
      <c r="S15" s="84">
        <f t="shared" si="9"/>
        <v>185681.05263157893</v>
      </c>
      <c r="T15" s="84">
        <f t="shared" si="9"/>
        <v>185681.05263157893</v>
      </c>
      <c r="U15" s="84">
        <f t="shared" si="9"/>
        <v>185681.05263157893</v>
      </c>
      <c r="V15" s="84">
        <f t="shared" si="9"/>
        <v>185681.05263157893</v>
      </c>
      <c r="W15" s="84">
        <f t="shared" si="9"/>
        <v>185681.05263157893</v>
      </c>
      <c r="X15" s="84">
        <f t="shared" si="9"/>
        <v>185681.05263157893</v>
      </c>
      <c r="Y15" s="84">
        <f t="shared" si="9"/>
        <v>185681.05263157893</v>
      </c>
      <c r="Z15" s="84">
        <f t="shared" si="9"/>
        <v>185681.05263157893</v>
      </c>
      <c r="AA15" s="84">
        <f t="shared" si="9"/>
        <v>185681.05263157893</v>
      </c>
      <c r="AB15" s="85">
        <f>SUM(D15:O15)</f>
        <v>1089759.4736842103</v>
      </c>
      <c r="AC15" s="85">
        <f>SUM(P15:AA15)</f>
        <v>2228172.631578947</v>
      </c>
    </row>
    <row r="16" spans="1:30" s="81" customFormat="1" ht="16.95" customHeight="1" x14ac:dyDescent="0.3">
      <c r="B16" s="99" t="s">
        <v>110</v>
      </c>
      <c r="C16" s="83"/>
      <c r="D16" s="97">
        <f t="shared" ref="D16:AA16" si="10">D14-D13-D15</f>
        <v>-618421.05263157899</v>
      </c>
      <c r="E16" s="97">
        <f t="shared" si="10"/>
        <v>-158042.10526315798</v>
      </c>
      <c r="F16" s="97">
        <f t="shared" si="10"/>
        <v>50955.263157894697</v>
      </c>
      <c r="G16" s="97">
        <f t="shared" si="10"/>
        <v>285541.84210526309</v>
      </c>
      <c r="H16" s="97">
        <f t="shared" si="10"/>
        <v>424932.89473684202</v>
      </c>
      <c r="I16" s="97">
        <f t="shared" si="10"/>
        <v>494628.42105263146</v>
      </c>
      <c r="J16" s="97">
        <f t="shared" si="10"/>
        <v>634019.47368421056</v>
      </c>
      <c r="K16" s="97">
        <f t="shared" si="10"/>
        <v>703715</v>
      </c>
      <c r="L16" s="97">
        <f t="shared" si="10"/>
        <v>773410.52631578944</v>
      </c>
      <c r="M16" s="97">
        <f t="shared" si="10"/>
        <v>843106.05263157876</v>
      </c>
      <c r="N16" s="97">
        <f t="shared" si="10"/>
        <v>912801.57894736819</v>
      </c>
      <c r="O16" s="97">
        <f t="shared" si="10"/>
        <v>1052192.6315789474</v>
      </c>
      <c r="P16" s="97">
        <f t="shared" si="10"/>
        <v>1052192.6315789474</v>
      </c>
      <c r="Q16" s="97">
        <f t="shared" si="10"/>
        <v>1052192.6315789474</v>
      </c>
      <c r="R16" s="97">
        <f t="shared" si="10"/>
        <v>1052192.6315789474</v>
      </c>
      <c r="S16" s="97">
        <f t="shared" si="10"/>
        <v>1052192.6315789474</v>
      </c>
      <c r="T16" s="97">
        <f t="shared" si="10"/>
        <v>1052192.6315789474</v>
      </c>
      <c r="U16" s="97">
        <f t="shared" si="10"/>
        <v>1052192.6315789474</v>
      </c>
      <c r="V16" s="97">
        <f t="shared" si="10"/>
        <v>1052192.6315789474</v>
      </c>
      <c r="W16" s="97">
        <f t="shared" si="10"/>
        <v>1052192.6315789474</v>
      </c>
      <c r="X16" s="97">
        <f t="shared" si="10"/>
        <v>1052192.6315789474</v>
      </c>
      <c r="Y16" s="97">
        <f t="shared" si="10"/>
        <v>1052192.6315789474</v>
      </c>
      <c r="Z16" s="97">
        <f t="shared" si="10"/>
        <v>1052192.6315789474</v>
      </c>
      <c r="AA16" s="97">
        <f t="shared" si="10"/>
        <v>1052192.6315789474</v>
      </c>
      <c r="AB16" s="94">
        <f>SUM(D16:O16)</f>
        <v>5398840.5263157887</v>
      </c>
      <c r="AC16" s="94">
        <f>SUM(P16:AA16)</f>
        <v>12626311.578947373</v>
      </c>
      <c r="AD16" s="125" t="s">
        <v>28</v>
      </c>
    </row>
    <row r="17" spans="2:30" s="81" customFormat="1" ht="16.95" customHeight="1" x14ac:dyDescent="0.3">
      <c r="B17" s="99" t="s">
        <v>116</v>
      </c>
      <c r="C17" s="97"/>
      <c r="D17" s="97">
        <f>D16</f>
        <v>-618421.05263157899</v>
      </c>
      <c r="E17" s="97">
        <f>D17+E16</f>
        <v>-776463.15789473697</v>
      </c>
      <c r="F17" s="97">
        <f t="shared" ref="F17:AA17" si="11">E17+F16</f>
        <v>-725507.89473684225</v>
      </c>
      <c r="G17" s="97">
        <f t="shared" si="11"/>
        <v>-439966.05263157916</v>
      </c>
      <c r="H17" s="97">
        <f t="shared" si="11"/>
        <v>-15033.157894737145</v>
      </c>
      <c r="I17" s="97">
        <f t="shared" si="11"/>
        <v>479595.26315789431</v>
      </c>
      <c r="J17" s="97">
        <f t="shared" si="11"/>
        <v>1113614.7368421049</v>
      </c>
      <c r="K17" s="97">
        <f t="shared" si="11"/>
        <v>1817329.7368421049</v>
      </c>
      <c r="L17" s="97">
        <f t="shared" si="11"/>
        <v>2590740.2631578944</v>
      </c>
      <c r="M17" s="97">
        <f t="shared" si="11"/>
        <v>3433846.3157894732</v>
      </c>
      <c r="N17" s="97">
        <f t="shared" si="11"/>
        <v>4346647.8947368413</v>
      </c>
      <c r="O17" s="97">
        <f t="shared" si="11"/>
        <v>5398840.5263157887</v>
      </c>
      <c r="P17" s="97">
        <f t="shared" si="11"/>
        <v>6451033.1578947362</v>
      </c>
      <c r="Q17" s="97">
        <f t="shared" si="11"/>
        <v>7503225.7894736836</v>
      </c>
      <c r="R17" s="97">
        <f t="shared" si="11"/>
        <v>8555418.421052631</v>
      </c>
      <c r="S17" s="97">
        <f t="shared" si="11"/>
        <v>9607611.0526315793</v>
      </c>
      <c r="T17" s="97">
        <f t="shared" si="11"/>
        <v>10659803.684210528</v>
      </c>
      <c r="U17" s="97">
        <f t="shared" si="11"/>
        <v>11711996.315789476</v>
      </c>
      <c r="V17" s="97">
        <f t="shared" si="11"/>
        <v>12764188.947368424</v>
      </c>
      <c r="W17" s="97">
        <f t="shared" si="11"/>
        <v>13816381.578947373</v>
      </c>
      <c r="X17" s="97">
        <f t="shared" si="11"/>
        <v>14868574.210526321</v>
      </c>
      <c r="Y17" s="97">
        <f t="shared" si="11"/>
        <v>15920766.842105269</v>
      </c>
      <c r="Z17" s="97">
        <f t="shared" si="11"/>
        <v>16972959.473684218</v>
      </c>
      <c r="AA17" s="97">
        <f t="shared" si="11"/>
        <v>18025152.105263166</v>
      </c>
      <c r="AB17" s="94">
        <f>O17</f>
        <v>5398840.5263157887</v>
      </c>
      <c r="AC17" s="94">
        <f>AA17</f>
        <v>18025152.105263166</v>
      </c>
      <c r="AD17" s="126">
        <f>SUM(AB14:AC14)-SUM(AB13:AC13)-SUM(AB15:AC15)</f>
        <v>18025152.105263159</v>
      </c>
    </row>
    <row r="18" spans="2:30" s="81" customFormat="1" ht="16.95" customHeight="1" x14ac:dyDescent="0.3">
      <c r="B18" s="99" t="s">
        <v>28</v>
      </c>
      <c r="C18" s="97"/>
      <c r="D18" s="97">
        <f>D16-D7</f>
        <v>-675263.15789473685</v>
      </c>
      <c r="E18" s="97">
        <f>D18+E16-E7</f>
        <v>-946989.47368421068</v>
      </c>
      <c r="F18" s="97">
        <f>E18+F16-F7</f>
        <v>-1038139.4736842107</v>
      </c>
      <c r="G18" s="97">
        <f>F18+G16-G7</f>
        <v>-937334.4736842108</v>
      </c>
      <c r="H18" s="97">
        <f>G18+H16-H7</f>
        <v>-725559.47368421091</v>
      </c>
      <c r="I18" s="97">
        <f>H18+I16-I7</f>
        <v>-458299.47368421103</v>
      </c>
      <c r="J18" s="97">
        <f>I18+J16-J7</f>
        <v>-80069.473684211</v>
      </c>
      <c r="K18" s="97">
        <f>J18+K16-K7</f>
        <v>353645.52631578897</v>
      </c>
      <c r="L18" s="97">
        <f>K18+L16-L7</f>
        <v>842845.52631578897</v>
      </c>
      <c r="M18" s="97">
        <f>L18+M16-M7</f>
        <v>1387530.5263157887</v>
      </c>
      <c r="N18" s="97">
        <f>M18+N16-N7</f>
        <v>1987700.5263157883</v>
      </c>
      <c r="O18" s="97">
        <f>N18+O16-O7</f>
        <v>2698840.5263157883</v>
      </c>
      <c r="P18" s="97">
        <f>O18+P16-P7</f>
        <v>3409980.5263157883</v>
      </c>
      <c r="Q18" s="97">
        <f>P18+Q16-Q7</f>
        <v>4121120.5263157887</v>
      </c>
      <c r="R18" s="97">
        <f>Q18+R16-R7</f>
        <v>4832260.5263157887</v>
      </c>
      <c r="S18" s="97">
        <f>R18+S16-S7</f>
        <v>5543400.5263157887</v>
      </c>
      <c r="T18" s="97">
        <f>S18+T16-T7</f>
        <v>6254540.5263157887</v>
      </c>
      <c r="U18" s="97">
        <f>T18+U16-U7</f>
        <v>6965680.5263157887</v>
      </c>
      <c r="V18" s="97">
        <f>U18+V16-V7</f>
        <v>7676820.5263157887</v>
      </c>
      <c r="W18" s="97">
        <f>V18+W16-W7</f>
        <v>8387960.5263157887</v>
      </c>
      <c r="X18" s="97">
        <f>W18+X16-X7</f>
        <v>9099100.5263157897</v>
      </c>
      <c r="Y18" s="97">
        <f>X18+Y16-Y7</f>
        <v>9810240.5263157915</v>
      </c>
      <c r="Z18" s="97">
        <f>Y18+Z16-Z7</f>
        <v>10521380.526315792</v>
      </c>
      <c r="AA18" s="97">
        <f>Z18+AA16-AA7</f>
        <v>10825152.105263159</v>
      </c>
      <c r="AB18" s="94">
        <f>O18</f>
        <v>2698840.5263157883</v>
      </c>
      <c r="AC18" s="94">
        <f>AA18</f>
        <v>10825152.105263159</v>
      </c>
      <c r="AD18" s="126">
        <f>SUM(AB16:AC16)-SUM(AB7:AC7)</f>
        <v>10825152.105263162</v>
      </c>
    </row>
    <row r="19" spans="2:30" ht="16.95" customHeight="1" x14ac:dyDescent="0.2">
      <c r="B19" s="76"/>
      <c r="C19" s="77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9"/>
      <c r="AC19" s="79"/>
    </row>
    <row r="21" spans="2:30" s="98" customFormat="1" ht="15" hidden="1" customHeight="1" outlineLevel="1" x14ac:dyDescent="0.3">
      <c r="B21" s="99" t="s">
        <v>59</v>
      </c>
      <c r="C21" s="100">
        <f>'КАЛЬКУЛЯТОР, САЛОН  ZETTA'!L15</f>
        <v>800</v>
      </c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2"/>
      <c r="O21" s="102"/>
    </row>
    <row r="22" spans="2:30" s="98" customFormat="1" ht="15" hidden="1" customHeight="1" outlineLevel="1" x14ac:dyDescent="0.3">
      <c r="B22" s="99" t="s">
        <v>60</v>
      </c>
      <c r="C22" s="100">
        <v>600</v>
      </c>
      <c r="D22" s="103"/>
      <c r="E22" s="104" t="s">
        <v>95</v>
      </c>
      <c r="F22" s="100">
        <f>'КАЛЬКУЛЯТОР, САЛОН  ZETTA'!C14</f>
        <v>270000</v>
      </c>
      <c r="G22" s="105"/>
      <c r="H22" s="100">
        <f>'КАЛЬКУЛЯТОР, САЛОН  ZETTA'!L8</f>
        <v>100000</v>
      </c>
      <c r="I22" s="106" t="s">
        <v>29</v>
      </c>
      <c r="J22" s="101"/>
      <c r="K22" s="101"/>
      <c r="L22" s="107">
        <f>'КАЛЬКУЛЯТОР, САЛОН  ZETTA'!C13</f>
        <v>0.9</v>
      </c>
      <c r="M22" s="106" t="s">
        <v>30</v>
      </c>
      <c r="N22" s="101"/>
      <c r="O22" s="101"/>
      <c r="P22" s="108"/>
    </row>
    <row r="23" spans="2:30" s="98" customFormat="1" ht="15" hidden="1" customHeight="1" outlineLevel="1" x14ac:dyDescent="0.3">
      <c r="B23" s="99" t="s">
        <v>31</v>
      </c>
      <c r="C23" s="100">
        <f>C21*C22</f>
        <v>480000</v>
      </c>
      <c r="D23" s="103"/>
      <c r="E23" s="104" t="s">
        <v>32</v>
      </c>
      <c r="F23" s="100">
        <f>'КАЛЬКУЛЯТОР, САЛОН  ZETTA'!G3</f>
        <v>24</v>
      </c>
      <c r="G23" s="101"/>
      <c r="H23" s="107">
        <f>'КАЛЬКУЛЯТОР, САЛОН  ZETTA'!L9</f>
        <v>7.0000000000000007E-2</v>
      </c>
      <c r="I23" s="106" t="s">
        <v>33</v>
      </c>
      <c r="J23" s="101"/>
      <c r="K23" s="101"/>
      <c r="L23" s="100">
        <f>'КАЛЬКУЛЯТОР, САЛОН  ZETTA'!L11</f>
        <v>250000</v>
      </c>
      <c r="M23" s="109" t="s">
        <v>93</v>
      </c>
      <c r="N23" s="101"/>
      <c r="O23" s="101"/>
      <c r="P23" s="108"/>
    </row>
    <row r="24" spans="2:30" s="98" customFormat="1" ht="15" hidden="1" customHeight="1" outlineLevel="1" x14ac:dyDescent="0.3">
      <c r="B24" s="99" t="s">
        <v>65</v>
      </c>
      <c r="C24" s="100">
        <f>'КАЛЬКУЛЯТОР, САЛОН  ZETTA'!L4</f>
        <v>7200000</v>
      </c>
      <c r="D24" s="103"/>
      <c r="E24" s="104" t="s">
        <v>87</v>
      </c>
      <c r="F24" s="100">
        <f>$F$22*F23</f>
        <v>6480000</v>
      </c>
      <c r="G24" s="103"/>
      <c r="H24" s="107">
        <f>'КАЛЬКУЛЯТОР, САЛОН  ZETTA'!C15</f>
        <v>0.15</v>
      </c>
      <c r="I24" s="106" t="s">
        <v>86</v>
      </c>
      <c r="J24" s="101"/>
      <c r="K24" s="101"/>
      <c r="L24" s="100">
        <f>'КАЛЬКУЛЯТОР, САЛОН  ZETTA'!L12</f>
        <v>300000</v>
      </c>
      <c r="M24" s="109" t="s">
        <v>62</v>
      </c>
      <c r="N24" s="101"/>
      <c r="O24" s="101"/>
      <c r="P24" s="110"/>
    </row>
    <row r="25" spans="2:30" s="98" customFormat="1" ht="15" hidden="1" customHeight="1" outlineLevel="1" x14ac:dyDescent="0.3">
      <c r="B25" s="99" t="s">
        <v>66</v>
      </c>
      <c r="C25" s="100">
        <f>'КАЛЬКУЛЯТОР, САЛОН  ZETTA'!L7</f>
        <v>1925000</v>
      </c>
      <c r="D25" s="103"/>
      <c r="E25" s="103"/>
      <c r="F25" s="103"/>
      <c r="G25" s="103"/>
      <c r="H25" s="143">
        <f>'КАЛЬКУЛЯТОР, САЛОН  ZETTA'!H13</f>
        <v>0.1</v>
      </c>
      <c r="I25" s="145" t="s">
        <v>64</v>
      </c>
      <c r="J25" s="101"/>
      <c r="K25" s="101"/>
      <c r="L25" s="107">
        <f>'КАЛЬКУЛЯТОР, САЛОН  ZETTA'!J13</f>
        <v>0.1</v>
      </c>
      <c r="M25" s="109" t="s">
        <v>63</v>
      </c>
      <c r="N25" s="101"/>
      <c r="O25" s="101"/>
      <c r="P25" s="110"/>
    </row>
    <row r="26" spans="2:30" s="98" customFormat="1" ht="15" hidden="1" customHeight="1" outlineLevel="1" x14ac:dyDescent="0.3">
      <c r="B26" s="99" t="s">
        <v>35</v>
      </c>
      <c r="C26" s="143">
        <f>'КАЛЬКУЛЯТОР, САЛОН  ZETTA'!H14</f>
        <v>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30" s="111" customFormat="1" ht="15" hidden="1" customHeight="1" outlineLevel="1" x14ac:dyDescent="0.3">
      <c r="B27" s="99"/>
      <c r="C27" s="112"/>
      <c r="D27" s="113" t="s">
        <v>36</v>
      </c>
      <c r="E27" s="113" t="s">
        <v>37</v>
      </c>
      <c r="F27" s="113" t="s">
        <v>38</v>
      </c>
      <c r="G27" s="113" t="s">
        <v>39</v>
      </c>
      <c r="H27" s="113" t="s">
        <v>40</v>
      </c>
      <c r="I27" s="113" t="s">
        <v>41</v>
      </c>
      <c r="J27" s="113" t="s">
        <v>42</v>
      </c>
      <c r="K27" s="113" t="s">
        <v>43</v>
      </c>
      <c r="L27" s="113" t="s">
        <v>44</v>
      </c>
      <c r="M27" s="113" t="s">
        <v>45</v>
      </c>
      <c r="N27" s="113" t="s">
        <v>46</v>
      </c>
      <c r="O27" s="113" t="s">
        <v>47</v>
      </c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</row>
    <row r="28" spans="2:30" s="98" customFormat="1" ht="15" hidden="1" customHeight="1" outlineLevel="1" x14ac:dyDescent="0.3">
      <c r="B28" s="99" t="s">
        <v>111</v>
      </c>
      <c r="C28" s="101"/>
      <c r="D28" s="107">
        <f>'ДДС ZETTA 300'!D28</f>
        <v>0.2</v>
      </c>
      <c r="E28" s="107">
        <f>'ДДС ZETTA 300'!E28</f>
        <v>0.35</v>
      </c>
      <c r="F28" s="107">
        <f>'ДДС ZETTA 300'!F28</f>
        <v>0.45</v>
      </c>
      <c r="G28" s="107">
        <f>'ДДС ZETTA 300'!G28</f>
        <v>0.55000000000000004</v>
      </c>
      <c r="H28" s="107">
        <f>'ДДС ZETTA 300'!H28</f>
        <v>0.65</v>
      </c>
      <c r="I28" s="107">
        <f>'ДДС ZETTA 300'!I28</f>
        <v>0.7</v>
      </c>
      <c r="J28" s="107">
        <f>'ДДС ZETTA 300'!J28</f>
        <v>0.75</v>
      </c>
      <c r="K28" s="107">
        <f>'ДДС ZETTA 300'!K28</f>
        <v>0.8</v>
      </c>
      <c r="L28" s="107">
        <f>'ДДС ZETTA 300'!L28</f>
        <v>0.85</v>
      </c>
      <c r="M28" s="107">
        <f>'ДДС ZETTA 300'!M28</f>
        <v>0.9</v>
      </c>
      <c r="N28" s="107">
        <f>'ДДС ZETTA 300'!N28</f>
        <v>0.95</v>
      </c>
      <c r="O28" s="107">
        <f>'ДДС ZETTA 300'!O28</f>
        <v>1</v>
      </c>
    </row>
    <row r="29" spans="2:30" s="25" customFormat="1" hidden="1" outlineLevel="1" x14ac:dyDescent="0.3">
      <c r="B29" s="80"/>
      <c r="C29" s="26">
        <f>SUM(D7:AA7)</f>
        <v>7200000</v>
      </c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  <c r="O29" s="82"/>
    </row>
    <row r="30" spans="2:30" hidden="1" outlineLevel="1" x14ac:dyDescent="0.3">
      <c r="B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2:30" collapsed="1" x14ac:dyDescent="0.3"/>
    <row r="67" spans="2:29" ht="15" hidden="1" x14ac:dyDescent="0.2">
      <c r="B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29" s="5" customFormat="1" ht="16.05" hidden="1" x14ac:dyDescent="0.2">
      <c r="B68" s="17" t="s">
        <v>48</v>
      </c>
      <c r="C68" s="2"/>
      <c r="D68" s="2" t="str">
        <f>D2</f>
        <v>1-й мес</v>
      </c>
      <c r="E68" s="2" t="str">
        <f>E2</f>
        <v>2-й мес</v>
      </c>
      <c r="F68" s="2" t="str">
        <f>F2</f>
        <v>3-й мес</v>
      </c>
      <c r="G68" s="2" t="str">
        <f>G2</f>
        <v>4-й мес</v>
      </c>
      <c r="H68" s="2" t="str">
        <f>H2</f>
        <v>5-й мес</v>
      </c>
      <c r="I68" s="2" t="str">
        <f>I2</f>
        <v>6-й мес</v>
      </c>
      <c r="J68" s="2" t="str">
        <f>J2</f>
        <v>7-й мес</v>
      </c>
      <c r="K68" s="2" t="str">
        <f>K2</f>
        <v>8-й мес</v>
      </c>
      <c r="L68" s="2" t="str">
        <f>L2</f>
        <v>9-й мес</v>
      </c>
      <c r="M68" s="2" t="str">
        <f>M2</f>
        <v>10-й мес</v>
      </c>
      <c r="N68" s="2" t="str">
        <f>N2</f>
        <v>11-й мес</v>
      </c>
      <c r="O68" s="2" t="str">
        <f>O2</f>
        <v>12-й мес</v>
      </c>
      <c r="P68" s="2" t="str">
        <f>P2</f>
        <v>13-й мес</v>
      </c>
      <c r="Q68" s="2" t="str">
        <f>Q2</f>
        <v>14-й мес</v>
      </c>
      <c r="R68" s="2" t="str">
        <f>R2</f>
        <v>15-й мес</v>
      </c>
      <c r="S68" s="2" t="str">
        <f>S2</f>
        <v>16-й мес</v>
      </c>
      <c r="T68" s="2" t="str">
        <f>T2</f>
        <v>17-й мес</v>
      </c>
      <c r="U68" s="2" t="str">
        <f>U2</f>
        <v>18-й мес</v>
      </c>
      <c r="V68" s="2" t="str">
        <f>V2</f>
        <v>19-й мес</v>
      </c>
      <c r="W68" s="2" t="str">
        <f>W2</f>
        <v>20-й мес</v>
      </c>
      <c r="X68" s="2" t="str">
        <f>X2</f>
        <v>21-й мес</v>
      </c>
      <c r="Y68" s="2" t="str">
        <f>Y2</f>
        <v>22-й мес</v>
      </c>
      <c r="Z68" s="2" t="str">
        <f>Z2</f>
        <v>23-й мес</v>
      </c>
      <c r="AA68" s="2" t="str">
        <f>AA2</f>
        <v>24-й мес</v>
      </c>
      <c r="AB68" s="3" t="s">
        <v>49</v>
      </c>
      <c r="AC68" s="4" t="s">
        <v>50</v>
      </c>
    </row>
    <row r="69" spans="2:29" ht="15" hidden="1" x14ac:dyDescent="0.2">
      <c r="B69" s="18" t="s">
        <v>52</v>
      </c>
      <c r="C69" s="19"/>
      <c r="D69" s="20">
        <f>D4-D14</f>
        <v>568421.05263157899</v>
      </c>
      <c r="E69" s="20">
        <f>E4-E14</f>
        <v>1136842.105263158</v>
      </c>
      <c r="F69" s="20">
        <f>F4-F14</f>
        <v>1421052.6315789474</v>
      </c>
      <c r="G69" s="20">
        <f>G4-G14</f>
        <v>1847368.4210526317</v>
      </c>
      <c r="H69" s="20">
        <f>H4-H14</f>
        <v>2131578.9473684211</v>
      </c>
      <c r="I69" s="20">
        <f>I4-I14</f>
        <v>2273684.210526316</v>
      </c>
      <c r="J69" s="20">
        <f>J4-J14</f>
        <v>2557894.7368421052</v>
      </c>
      <c r="K69" s="20">
        <f>K4-K14</f>
        <v>2700000</v>
      </c>
      <c r="L69" s="20">
        <f>L4-L14</f>
        <v>2842105.2631578948</v>
      </c>
      <c r="M69" s="20">
        <f>M4-M14</f>
        <v>2984210.5263157897</v>
      </c>
      <c r="N69" s="20">
        <f>N4-N14</f>
        <v>3126315.7894736845</v>
      </c>
      <c r="O69" s="20">
        <f>O4-O14</f>
        <v>3410526.3157894737</v>
      </c>
      <c r="P69" s="20">
        <f>P4-P14</f>
        <v>3410526.3157894737</v>
      </c>
      <c r="Q69" s="20">
        <f>Q4-Q14</f>
        <v>3410526.3157894737</v>
      </c>
      <c r="R69" s="20">
        <f>R4-R14</f>
        <v>3410526.3157894737</v>
      </c>
      <c r="S69" s="20">
        <f>S4-S14</f>
        <v>3410526.3157894737</v>
      </c>
      <c r="T69" s="20">
        <f>T4-T14</f>
        <v>3410526.3157894737</v>
      </c>
      <c r="U69" s="20">
        <f>U4-U14</f>
        <v>3410526.3157894737</v>
      </c>
      <c r="V69" s="20">
        <f>V4-V14</f>
        <v>3410526.3157894737</v>
      </c>
      <c r="W69" s="20">
        <f>W4-W14</f>
        <v>3410526.3157894737</v>
      </c>
      <c r="X69" s="20">
        <f>X4-X14</f>
        <v>3410526.3157894737</v>
      </c>
      <c r="Y69" s="20">
        <f>Y4-Y14</f>
        <v>3410526.3157894737</v>
      </c>
      <c r="Z69" s="20">
        <f>Z4-Z14</f>
        <v>3410526.3157894737</v>
      </c>
      <c r="AA69" s="20">
        <f>AA4-AA14</f>
        <v>3410526.3157894737</v>
      </c>
      <c r="AB69" s="20">
        <f>SUM(D69:O69)</f>
        <v>27000000.000000004</v>
      </c>
      <c r="AC69" s="20">
        <f>SUM(P69:AA69)</f>
        <v>40926315.789473683</v>
      </c>
    </row>
    <row r="70" spans="2:29" ht="15" hidden="1" x14ac:dyDescent="0.2">
      <c r="B70" s="18" t="s">
        <v>53</v>
      </c>
      <c r="C70" s="19"/>
      <c r="D70" s="20">
        <f t="shared" ref="D70:AA70" si="12">D69-D69/(100%+$C$81)</f>
        <v>74141.876430205943</v>
      </c>
      <c r="E70" s="20">
        <f t="shared" si="12"/>
        <v>148283.75286041189</v>
      </c>
      <c r="F70" s="20">
        <f t="shared" si="12"/>
        <v>185354.69107551477</v>
      </c>
      <c r="G70" s="20">
        <f t="shared" si="12"/>
        <v>240961.09839816927</v>
      </c>
      <c r="H70" s="20">
        <f t="shared" si="12"/>
        <v>278032.03661327227</v>
      </c>
      <c r="I70" s="20">
        <f t="shared" si="12"/>
        <v>296567.50572082377</v>
      </c>
      <c r="J70" s="20">
        <f t="shared" si="12"/>
        <v>333638.44393592654</v>
      </c>
      <c r="K70" s="20">
        <f t="shared" si="12"/>
        <v>352173.91304347804</v>
      </c>
      <c r="L70" s="20">
        <f t="shared" si="12"/>
        <v>370709.38215102954</v>
      </c>
      <c r="M70" s="20">
        <f t="shared" si="12"/>
        <v>389244.85125858104</v>
      </c>
      <c r="N70" s="20">
        <f t="shared" si="12"/>
        <v>407780.32036613254</v>
      </c>
      <c r="O70" s="20">
        <f t="shared" si="12"/>
        <v>444851.25858123554</v>
      </c>
      <c r="P70" s="20">
        <f t="shared" si="12"/>
        <v>444851.25858123554</v>
      </c>
      <c r="Q70" s="20">
        <f t="shared" si="12"/>
        <v>444851.25858123554</v>
      </c>
      <c r="R70" s="20">
        <f t="shared" si="12"/>
        <v>444851.25858123554</v>
      </c>
      <c r="S70" s="20">
        <f t="shared" si="12"/>
        <v>444851.25858123554</v>
      </c>
      <c r="T70" s="20">
        <f t="shared" si="12"/>
        <v>444851.25858123554</v>
      </c>
      <c r="U70" s="20">
        <f t="shared" si="12"/>
        <v>444851.25858123554</v>
      </c>
      <c r="V70" s="20">
        <f t="shared" si="12"/>
        <v>444851.25858123554</v>
      </c>
      <c r="W70" s="20">
        <f t="shared" si="12"/>
        <v>444851.25858123554</v>
      </c>
      <c r="X70" s="20">
        <f t="shared" si="12"/>
        <v>444851.25858123554</v>
      </c>
      <c r="Y70" s="20">
        <f t="shared" si="12"/>
        <v>444851.25858123554</v>
      </c>
      <c r="Z70" s="20">
        <f t="shared" si="12"/>
        <v>444851.25858123554</v>
      </c>
      <c r="AA70" s="20">
        <f t="shared" si="12"/>
        <v>444851.25858123554</v>
      </c>
      <c r="AB70" s="20">
        <f>SUM(D70:O70)</f>
        <v>3521739.1304347808</v>
      </c>
      <c r="AC70" s="20">
        <f>SUM(P70:AA70)</f>
        <v>5338215.1029748265</v>
      </c>
    </row>
    <row r="71" spans="2:29" ht="15" hidden="1" x14ac:dyDescent="0.2">
      <c r="B71" s="18"/>
      <c r="C71" s="19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</row>
    <row r="72" spans="2:29" ht="15" hidden="1" x14ac:dyDescent="0.2">
      <c r="B72" s="18" t="s">
        <v>54</v>
      </c>
      <c r="C72" s="19"/>
      <c r="D72" s="20">
        <f>D70</f>
        <v>74141.876430205943</v>
      </c>
      <c r="E72" s="20">
        <f t="shared" ref="E72:AA72" si="13">D72+E70</f>
        <v>222425.62929061783</v>
      </c>
      <c r="F72" s="20">
        <f t="shared" si="13"/>
        <v>407780.3203661326</v>
      </c>
      <c r="G72" s="20">
        <f t="shared" si="13"/>
        <v>648741.41876430181</v>
      </c>
      <c r="H72" s="20">
        <f t="shared" si="13"/>
        <v>926773.45537757408</v>
      </c>
      <c r="I72" s="20">
        <f t="shared" si="13"/>
        <v>1223340.9610983978</v>
      </c>
      <c r="J72" s="20">
        <f t="shared" si="13"/>
        <v>1556979.4050343244</v>
      </c>
      <c r="K72" s="20">
        <f t="shared" si="13"/>
        <v>1909153.3180778024</v>
      </c>
      <c r="L72" s="20">
        <f t="shared" si="13"/>
        <v>2279862.7002288317</v>
      </c>
      <c r="M72" s="20">
        <f t="shared" si="13"/>
        <v>2669107.5514874128</v>
      </c>
      <c r="N72" s="20">
        <f t="shared" si="13"/>
        <v>3076887.8718535453</v>
      </c>
      <c r="O72" s="20">
        <f t="shared" si="13"/>
        <v>3521739.1304347808</v>
      </c>
      <c r="P72" s="20">
        <f t="shared" si="13"/>
        <v>3966590.3890160164</v>
      </c>
      <c r="Q72" s="20">
        <f t="shared" si="13"/>
        <v>4411441.6475972515</v>
      </c>
      <c r="R72" s="20">
        <f t="shared" si="13"/>
        <v>4856292.9061784875</v>
      </c>
      <c r="S72" s="20">
        <f t="shared" si="13"/>
        <v>5301144.1647597235</v>
      </c>
      <c r="T72" s="20">
        <f t="shared" si="13"/>
        <v>5745995.4233409595</v>
      </c>
      <c r="U72" s="20">
        <f t="shared" si="13"/>
        <v>6190846.6819221955</v>
      </c>
      <c r="V72" s="20">
        <f t="shared" si="13"/>
        <v>6635697.9405034315</v>
      </c>
      <c r="W72" s="20">
        <f t="shared" si="13"/>
        <v>7080549.1990846675</v>
      </c>
      <c r="X72" s="20">
        <f t="shared" si="13"/>
        <v>7525400.4576659035</v>
      </c>
      <c r="Y72" s="20">
        <f t="shared" si="13"/>
        <v>7970251.7162471395</v>
      </c>
      <c r="Z72" s="20">
        <f t="shared" si="13"/>
        <v>8415102.9748283755</v>
      </c>
      <c r="AA72" s="20">
        <f t="shared" si="13"/>
        <v>8859954.2334096115</v>
      </c>
      <c r="AB72" s="20"/>
      <c r="AC72" s="20"/>
    </row>
    <row r="73" spans="2:29" ht="16.05" hidden="1" thickBot="1" x14ac:dyDescent="0.2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2:29" ht="15" hidden="1" x14ac:dyDescent="0.2"/>
    <row r="75" spans="2:29" ht="16.05" hidden="1" x14ac:dyDescent="0.2">
      <c r="B75" s="6" t="s">
        <v>55</v>
      </c>
      <c r="D75" s="11">
        <f t="shared" ref="D75:AA75" si="14">(D69-D70)*$C$81</f>
        <v>74141.876430205957</v>
      </c>
      <c r="E75" s="11">
        <f t="shared" si="14"/>
        <v>148283.75286041191</v>
      </c>
      <c r="F75" s="11">
        <f t="shared" si="14"/>
        <v>185354.69107551489</v>
      </c>
      <c r="G75" s="11">
        <f t="shared" si="14"/>
        <v>240961.09839816936</v>
      </c>
      <c r="H75" s="11">
        <f t="shared" si="14"/>
        <v>278032.03661327233</v>
      </c>
      <c r="I75" s="11">
        <f t="shared" si="14"/>
        <v>296567.50572082383</v>
      </c>
      <c r="J75" s="11">
        <f t="shared" si="14"/>
        <v>333638.44393592677</v>
      </c>
      <c r="K75" s="11">
        <f t="shared" si="14"/>
        <v>352173.91304347827</v>
      </c>
      <c r="L75" s="11">
        <f t="shared" si="14"/>
        <v>370709.38215102977</v>
      </c>
      <c r="M75" s="11">
        <f t="shared" si="14"/>
        <v>389244.85125858127</v>
      </c>
      <c r="N75" s="11">
        <f t="shared" si="14"/>
        <v>407780.32036613277</v>
      </c>
      <c r="O75" s="11">
        <f t="shared" si="14"/>
        <v>444851.25858123571</v>
      </c>
      <c r="P75" s="11">
        <f t="shared" si="14"/>
        <v>444851.25858123571</v>
      </c>
      <c r="Q75" s="11">
        <f t="shared" si="14"/>
        <v>444851.25858123571</v>
      </c>
      <c r="R75" s="11">
        <f t="shared" si="14"/>
        <v>444851.25858123571</v>
      </c>
      <c r="S75" s="11">
        <f t="shared" si="14"/>
        <v>444851.25858123571</v>
      </c>
      <c r="T75" s="11">
        <f t="shared" si="14"/>
        <v>444851.25858123571</v>
      </c>
      <c r="U75" s="11">
        <f t="shared" si="14"/>
        <v>444851.25858123571</v>
      </c>
      <c r="V75" s="11">
        <f t="shared" si="14"/>
        <v>444851.25858123571</v>
      </c>
      <c r="W75" s="11">
        <f t="shared" si="14"/>
        <v>444851.25858123571</v>
      </c>
      <c r="X75" s="11">
        <f t="shared" si="14"/>
        <v>444851.25858123571</v>
      </c>
      <c r="Y75" s="11">
        <f t="shared" si="14"/>
        <v>444851.25858123571</v>
      </c>
      <c r="Z75" s="11">
        <f t="shared" si="14"/>
        <v>444851.25858123571</v>
      </c>
      <c r="AA75" s="11">
        <f t="shared" si="14"/>
        <v>444851.25858123571</v>
      </c>
      <c r="AB75" s="21" t="s">
        <v>28</v>
      </c>
    </row>
    <row r="76" spans="2:29" ht="16.05" hidden="1" x14ac:dyDescent="0.2">
      <c r="B76" s="6" t="s">
        <v>56</v>
      </c>
      <c r="C76" s="7"/>
      <c r="D76" s="9">
        <f>D4</f>
        <v>1080000</v>
      </c>
      <c r="E76" s="8">
        <f>D4+E4</f>
        <v>3240000</v>
      </c>
      <c r="F76" s="8">
        <f>E76+F4</f>
        <v>5940000</v>
      </c>
      <c r="G76" s="8">
        <f>F76+G4</f>
        <v>9450000</v>
      </c>
      <c r="H76" s="8">
        <f>G76+H4</f>
        <v>13500000</v>
      </c>
      <c r="I76" s="8">
        <f>H76+I4</f>
        <v>17820000</v>
      </c>
      <c r="J76" s="8">
        <f>I76+J4</f>
        <v>22680000</v>
      </c>
      <c r="K76" s="8">
        <f>J76+K4</f>
        <v>27810000</v>
      </c>
      <c r="L76" s="8">
        <f>K76+L4</f>
        <v>33210000</v>
      </c>
      <c r="M76" s="8">
        <f>L76+M4</f>
        <v>38880000</v>
      </c>
      <c r="N76" s="8">
        <f>M76+N4</f>
        <v>44820000</v>
      </c>
      <c r="O76" s="8">
        <f>N76+O4</f>
        <v>51300000</v>
      </c>
      <c r="P76" s="8">
        <f>O76+P4</f>
        <v>57780000</v>
      </c>
      <c r="Q76" s="8">
        <f>P76+Q4</f>
        <v>64260000</v>
      </c>
      <c r="R76" s="8">
        <f>Q76+R4</f>
        <v>70740000</v>
      </c>
      <c r="S76" s="8">
        <f>R76+S4</f>
        <v>77220000</v>
      </c>
      <c r="T76" s="8">
        <f>S76+T4</f>
        <v>83700000</v>
      </c>
      <c r="U76" s="8">
        <f>T76+U4</f>
        <v>90180000</v>
      </c>
      <c r="V76" s="8">
        <f>U76+V4</f>
        <v>96660000</v>
      </c>
      <c r="W76" s="8">
        <f>V76+W4</f>
        <v>103140000</v>
      </c>
      <c r="X76" s="8">
        <f>W76+X4</f>
        <v>109620000</v>
      </c>
      <c r="Y76" s="8">
        <f>X76+Y4</f>
        <v>116100000</v>
      </c>
      <c r="Z76" s="8">
        <f>Y76+Z4</f>
        <v>122580000</v>
      </c>
      <c r="AA76" s="8">
        <f>Z76+AA4</f>
        <v>129060000</v>
      </c>
      <c r="AB76" s="22">
        <f>SUM(AB4:AC4)</f>
        <v>129060000</v>
      </c>
      <c r="AC76" s="9"/>
    </row>
    <row r="77" spans="2:29" ht="16.05" hidden="1" x14ac:dyDescent="0.2">
      <c r="B77" s="6" t="s">
        <v>57</v>
      </c>
      <c r="C77" s="10"/>
      <c r="D77" s="8">
        <f>C13+D13</f>
        <v>1130000</v>
      </c>
      <c r="E77" s="8">
        <f t="shared" ref="E77:AA77" si="15">D77+E13</f>
        <v>2311200</v>
      </c>
      <c r="F77" s="8">
        <f t="shared" si="15"/>
        <v>3530200</v>
      </c>
      <c r="G77" s="8">
        <f t="shared" si="15"/>
        <v>4856900</v>
      </c>
      <c r="H77" s="8">
        <f t="shared" si="15"/>
        <v>6275400</v>
      </c>
      <c r="I77" s="8">
        <f t="shared" si="15"/>
        <v>7739800</v>
      </c>
      <c r="J77" s="8">
        <f t="shared" si="15"/>
        <v>9296000</v>
      </c>
      <c r="K77" s="8">
        <f t="shared" si="15"/>
        <v>10898100</v>
      </c>
      <c r="L77" s="8">
        <f t="shared" si="15"/>
        <v>12546100</v>
      </c>
      <c r="M77" s="8">
        <f t="shared" si="15"/>
        <v>14240000</v>
      </c>
      <c r="N77" s="8">
        <f t="shared" si="15"/>
        <v>15979800</v>
      </c>
      <c r="O77" s="8">
        <f t="shared" si="15"/>
        <v>17811400</v>
      </c>
      <c r="P77" s="8">
        <f t="shared" si="15"/>
        <v>19643000</v>
      </c>
      <c r="Q77" s="8">
        <f t="shared" si="15"/>
        <v>21474600</v>
      </c>
      <c r="R77" s="8">
        <f t="shared" si="15"/>
        <v>23306200</v>
      </c>
      <c r="S77" s="8">
        <f t="shared" si="15"/>
        <v>25137800</v>
      </c>
      <c r="T77" s="8">
        <f t="shared" si="15"/>
        <v>26969400</v>
      </c>
      <c r="U77" s="8">
        <f t="shared" si="15"/>
        <v>28801000</v>
      </c>
      <c r="V77" s="8">
        <f t="shared" si="15"/>
        <v>30632600</v>
      </c>
      <c r="W77" s="8">
        <f t="shared" si="15"/>
        <v>32464200</v>
      </c>
      <c r="X77" s="8">
        <f t="shared" si="15"/>
        <v>34295800</v>
      </c>
      <c r="Y77" s="8">
        <f t="shared" si="15"/>
        <v>36127400</v>
      </c>
      <c r="Z77" s="8">
        <f t="shared" si="15"/>
        <v>37959000</v>
      </c>
      <c r="AA77" s="8">
        <f t="shared" si="15"/>
        <v>39790600</v>
      </c>
      <c r="AB77" s="22">
        <f>SUM(AB14:AC14)</f>
        <v>61133684.210526317</v>
      </c>
      <c r="AC77" s="9"/>
    </row>
    <row r="78" spans="2:29" ht="16.05" hidden="1" x14ac:dyDescent="0.2">
      <c r="B78" s="6" t="s">
        <v>58</v>
      </c>
      <c r="C78" s="7"/>
      <c r="D78" s="11">
        <f>D14</f>
        <v>511578.94736842101</v>
      </c>
      <c r="E78" s="11">
        <f t="shared" ref="E78:AA78" si="16">E76-E76/(100%+$L$22)</f>
        <v>1534736.8421052631</v>
      </c>
      <c r="F78" s="11">
        <f t="shared" si="16"/>
        <v>2813684.2105263155</v>
      </c>
      <c r="G78" s="11">
        <f t="shared" si="16"/>
        <v>4476315.7894736836</v>
      </c>
      <c r="H78" s="11">
        <f t="shared" si="16"/>
        <v>6394736.8421052629</v>
      </c>
      <c r="I78" s="11">
        <f t="shared" si="16"/>
        <v>8441052.6315789465</v>
      </c>
      <c r="J78" s="11">
        <f t="shared" si="16"/>
        <v>10743157.894736841</v>
      </c>
      <c r="K78" s="11">
        <f t="shared" si="16"/>
        <v>13173157.894736841</v>
      </c>
      <c r="L78" s="11">
        <f t="shared" si="16"/>
        <v>15731052.631578948</v>
      </c>
      <c r="M78" s="11">
        <f t="shared" si="16"/>
        <v>18416842.105263159</v>
      </c>
      <c r="N78" s="11">
        <f t="shared" si="16"/>
        <v>21230526.315789472</v>
      </c>
      <c r="O78" s="11">
        <f t="shared" si="16"/>
        <v>24300000</v>
      </c>
      <c r="P78" s="11">
        <f t="shared" si="16"/>
        <v>27369473.684210524</v>
      </c>
      <c r="Q78" s="11">
        <f t="shared" si="16"/>
        <v>30438947.368421048</v>
      </c>
      <c r="R78" s="11">
        <f t="shared" si="16"/>
        <v>33508421.052631579</v>
      </c>
      <c r="S78" s="11">
        <f t="shared" si="16"/>
        <v>36577894.736842103</v>
      </c>
      <c r="T78" s="11">
        <f t="shared" si="16"/>
        <v>39647368.421052627</v>
      </c>
      <c r="U78" s="11">
        <f t="shared" si="16"/>
        <v>42716842.105263159</v>
      </c>
      <c r="V78" s="11">
        <f t="shared" si="16"/>
        <v>45786315.789473683</v>
      </c>
      <c r="W78" s="11">
        <f t="shared" si="16"/>
        <v>48855789.473684207</v>
      </c>
      <c r="X78" s="11">
        <f t="shared" si="16"/>
        <v>51925263.157894731</v>
      </c>
      <c r="Y78" s="11">
        <f t="shared" si="16"/>
        <v>54994736.842105262</v>
      </c>
      <c r="Z78" s="11">
        <f t="shared" si="16"/>
        <v>58064210.526315786</v>
      </c>
      <c r="AA78" s="11">
        <f t="shared" si="16"/>
        <v>61133684.210526317</v>
      </c>
      <c r="AB78" s="22">
        <f>SUM(AB14:AC14)</f>
        <v>61133684.210526317</v>
      </c>
      <c r="AC78" s="9"/>
    </row>
    <row r="79" spans="2:29" ht="15" hidden="1" x14ac:dyDescent="0.2"/>
    <row r="80" spans="2:29" ht="15" hidden="1" x14ac:dyDescent="0.2"/>
    <row r="81" spans="2:3" ht="15" hidden="1" x14ac:dyDescent="0.2">
      <c r="B81" s="13" t="s">
        <v>34</v>
      </c>
      <c r="C81" s="24">
        <v>0.15</v>
      </c>
    </row>
    <row r="82" spans="2:3" ht="15" hidden="1" x14ac:dyDescent="0.2"/>
    <row r="83" spans="2:3" ht="15" hidden="1" x14ac:dyDescent="0.2"/>
    <row r="84" spans="2:3" ht="15" hidden="1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zoomScaleNormal="100" zoomScalePageLayoutView="110" workbookViewId="0">
      <selection activeCell="H25" sqref="H25"/>
    </sheetView>
  </sheetViews>
  <sheetFormatPr defaultColWidth="8.6640625" defaultRowHeight="14.4" x14ac:dyDescent="0.3"/>
  <cols>
    <col min="1" max="1" width="0.33203125" style="36" customWidth="1"/>
    <col min="2" max="2" width="56.44140625" style="36" customWidth="1"/>
    <col min="3" max="3" width="13.6640625" style="36" customWidth="1"/>
    <col min="4" max="6" width="12.6640625" style="36" customWidth="1"/>
    <col min="7" max="16384" width="8.6640625" style="36"/>
  </cols>
  <sheetData>
    <row r="1" spans="2:7" ht="1.2" customHeight="1" x14ac:dyDescent="0.2"/>
    <row r="2" spans="2:7" ht="20.55" customHeight="1" x14ac:dyDescent="0.3">
      <c r="B2" s="155" t="s">
        <v>70</v>
      </c>
      <c r="C2" s="155"/>
      <c r="D2" s="155"/>
      <c r="E2" s="155"/>
    </row>
    <row r="3" spans="2:7" s="42" customFormat="1" ht="16.2" customHeight="1" x14ac:dyDescent="0.3">
      <c r="B3" s="40" t="s">
        <v>80</v>
      </c>
      <c r="C3" s="41" t="s">
        <v>71</v>
      </c>
      <c r="D3" s="128" t="s">
        <v>112</v>
      </c>
      <c r="E3" s="128" t="s">
        <v>119</v>
      </c>
      <c r="F3" s="128" t="s">
        <v>120</v>
      </c>
    </row>
    <row r="4" spans="2:7" s="38" customFormat="1" ht="1.2" customHeight="1" x14ac:dyDescent="0.2">
      <c r="B4" s="37"/>
      <c r="C4" s="37"/>
    </row>
    <row r="5" spans="2:7" s="38" customFormat="1" ht="14.4" customHeight="1" x14ac:dyDescent="0.3">
      <c r="B5" s="43" t="s">
        <v>150</v>
      </c>
      <c r="C5" s="37"/>
      <c r="D5" s="156">
        <v>0</v>
      </c>
      <c r="E5" s="156">
        <v>0</v>
      </c>
      <c r="F5" s="156">
        <v>0</v>
      </c>
    </row>
    <row r="6" spans="2:7" ht="15.45" customHeight="1" x14ac:dyDescent="0.3">
      <c r="B6" s="43" t="s">
        <v>83</v>
      </c>
      <c r="C6" s="52">
        <v>1000</v>
      </c>
      <c r="D6" s="44">
        <f>$C$6*D21</f>
        <v>300000</v>
      </c>
      <c r="E6" s="44">
        <f t="shared" ref="E6:F6" si="0">$C$6*E21</f>
        <v>450000</v>
      </c>
      <c r="F6" s="44">
        <f t="shared" si="0"/>
        <v>600000</v>
      </c>
      <c r="G6" s="38"/>
    </row>
    <row r="7" spans="2:7" s="38" customFormat="1" ht="15.6" x14ac:dyDescent="0.3">
      <c r="B7" s="43" t="s">
        <v>76</v>
      </c>
      <c r="C7" s="52">
        <v>6000</v>
      </c>
      <c r="D7" s="44">
        <f>$C$7*D22</f>
        <v>84000</v>
      </c>
      <c r="E7" s="44">
        <f t="shared" ref="E7:F7" si="1">$C$7*E22</f>
        <v>114000</v>
      </c>
      <c r="F7" s="44">
        <f t="shared" si="1"/>
        <v>144000</v>
      </c>
    </row>
    <row r="8" spans="2:7" s="38" customFormat="1" ht="15.6" x14ac:dyDescent="0.3">
      <c r="B8" s="43" t="s">
        <v>72</v>
      </c>
      <c r="C8" s="52">
        <v>20000</v>
      </c>
      <c r="D8" s="44">
        <f>$C$8*D22</f>
        <v>280000</v>
      </c>
      <c r="E8" s="44">
        <f t="shared" ref="E8:F8" si="2">$C$8*E22</f>
        <v>380000</v>
      </c>
      <c r="F8" s="44">
        <f t="shared" si="2"/>
        <v>480000</v>
      </c>
    </row>
    <row r="9" spans="2:7" s="38" customFormat="1" ht="15" customHeight="1" x14ac:dyDescent="0.3">
      <c r="B9" s="43" t="s">
        <v>73</v>
      </c>
      <c r="C9" s="52">
        <v>20000</v>
      </c>
      <c r="D9" s="44">
        <f>$C$9*D23</f>
        <v>40000</v>
      </c>
      <c r="E9" s="44">
        <f t="shared" ref="E9:F9" si="3">$C$9*E23</f>
        <v>40000</v>
      </c>
      <c r="F9" s="44">
        <f t="shared" si="3"/>
        <v>60000</v>
      </c>
    </row>
    <row r="10" spans="2:7" s="38" customFormat="1" ht="15.6" x14ac:dyDescent="0.3">
      <c r="B10" s="43" t="s">
        <v>74</v>
      </c>
      <c r="C10" s="52">
        <v>50000</v>
      </c>
      <c r="D10" s="44">
        <f>$C$10*D23</f>
        <v>100000</v>
      </c>
      <c r="E10" s="44">
        <f>C10*E23</f>
        <v>100000</v>
      </c>
      <c r="F10" s="44">
        <f>C10*F23</f>
        <v>150000</v>
      </c>
    </row>
    <row r="11" spans="2:7" s="38" customFormat="1" ht="15.6" x14ac:dyDescent="0.3">
      <c r="B11" s="43" t="s">
        <v>92</v>
      </c>
      <c r="C11" s="52">
        <v>100000</v>
      </c>
      <c r="D11" s="44">
        <f>$C$11</f>
        <v>100000</v>
      </c>
      <c r="E11" s="44">
        <f t="shared" ref="E11:F11" si="4">$C$11</f>
        <v>100000</v>
      </c>
      <c r="F11" s="44">
        <f t="shared" si="4"/>
        <v>100000</v>
      </c>
    </row>
    <row r="12" spans="2:7" s="38" customFormat="1" ht="15.6" x14ac:dyDescent="0.3">
      <c r="B12" s="43" t="s">
        <v>75</v>
      </c>
      <c r="C12" s="52">
        <v>20000</v>
      </c>
      <c r="D12" s="44">
        <f>$C$12</f>
        <v>20000</v>
      </c>
      <c r="E12" s="44">
        <f t="shared" ref="E12:F12" si="5">$C$12</f>
        <v>20000</v>
      </c>
      <c r="F12" s="44">
        <f t="shared" si="5"/>
        <v>20000</v>
      </c>
    </row>
    <row r="13" spans="2:7" s="38" customFormat="1" ht="15.6" x14ac:dyDescent="0.3">
      <c r="B13" s="43" t="s">
        <v>142</v>
      </c>
      <c r="C13" s="52">
        <v>22000</v>
      </c>
      <c r="D13" s="44">
        <f>$C$13*D23</f>
        <v>44000</v>
      </c>
      <c r="E13" s="44">
        <f t="shared" ref="E13:F13" si="6">$C$13*E23</f>
        <v>44000</v>
      </c>
      <c r="F13" s="44">
        <f t="shared" si="6"/>
        <v>66000</v>
      </c>
    </row>
    <row r="14" spans="2:7" s="38" customFormat="1" ht="15.6" x14ac:dyDescent="0.3">
      <c r="B14" s="43" t="s">
        <v>77</v>
      </c>
      <c r="C14" s="44"/>
      <c r="D14" s="44">
        <v>70000</v>
      </c>
      <c r="E14" s="44">
        <v>70000</v>
      </c>
      <c r="F14" s="44">
        <v>70000</v>
      </c>
    </row>
    <row r="15" spans="2:7" s="38" customFormat="1" ht="15.6" x14ac:dyDescent="0.3">
      <c r="B15" s="43" t="s">
        <v>78</v>
      </c>
      <c r="C15" s="44"/>
      <c r="D15" s="44">
        <v>30000</v>
      </c>
      <c r="E15" s="44">
        <v>35000</v>
      </c>
      <c r="F15" s="44">
        <v>40000</v>
      </c>
    </row>
    <row r="16" spans="2:7" s="38" customFormat="1" ht="15.6" x14ac:dyDescent="0.3">
      <c r="B16" s="46" t="s">
        <v>79</v>
      </c>
      <c r="C16" s="47"/>
      <c r="D16" s="47">
        <v>15000</v>
      </c>
      <c r="E16" s="47">
        <v>20000</v>
      </c>
      <c r="F16" s="47">
        <v>25000</v>
      </c>
    </row>
    <row r="17" spans="2:7" s="38" customFormat="1" ht="15.6" x14ac:dyDescent="0.3">
      <c r="B17" s="46" t="s">
        <v>84</v>
      </c>
      <c r="C17" s="47"/>
      <c r="D17" s="47">
        <v>50000</v>
      </c>
      <c r="E17" s="47">
        <v>60000</v>
      </c>
      <c r="F17" s="47">
        <v>70000</v>
      </c>
    </row>
    <row r="18" spans="2:7" s="38" customFormat="1" ht="15.6" x14ac:dyDescent="0.3">
      <c r="B18" s="46" t="s">
        <v>151</v>
      </c>
      <c r="C18" s="47"/>
      <c r="D18" s="47">
        <v>50000</v>
      </c>
      <c r="E18" s="47">
        <v>75000</v>
      </c>
      <c r="F18" s="47">
        <v>100000</v>
      </c>
    </row>
    <row r="19" spans="2:7" ht="15" x14ac:dyDescent="0.2">
      <c r="B19" s="127"/>
      <c r="C19" s="44"/>
      <c r="D19" s="45">
        <f t="shared" ref="D19:E19" si="7">SUM(D5:D18)</f>
        <v>1183000</v>
      </c>
      <c r="E19" s="45">
        <f t="shared" si="7"/>
        <v>1508000</v>
      </c>
      <c r="F19" s="45">
        <f>SUM(F5:F18)</f>
        <v>1925000</v>
      </c>
      <c r="G19" s="38"/>
    </row>
    <row r="20" spans="2:7" ht="15" x14ac:dyDescent="0.2">
      <c r="B20" s="34"/>
      <c r="C20" s="34"/>
    </row>
    <row r="21" spans="2:7" ht="15.6" x14ac:dyDescent="0.3">
      <c r="B21" s="43" t="s">
        <v>118</v>
      </c>
      <c r="D21" s="47">
        <v>300</v>
      </c>
      <c r="E21" s="47">
        <v>450</v>
      </c>
      <c r="F21" s="47">
        <v>600</v>
      </c>
    </row>
    <row r="22" spans="2:7" ht="15.6" x14ac:dyDescent="0.3">
      <c r="B22" s="43" t="s">
        <v>81</v>
      </c>
      <c r="D22" s="47">
        <f>'КАЛЬКУЛЯТОР, САЛОН  ZETTA'!J3</f>
        <v>14</v>
      </c>
      <c r="E22" s="47">
        <f>'КАЛЬКУЛЯТОР, САЛОН  ZETTA'!K3</f>
        <v>19</v>
      </c>
      <c r="F22" s="47">
        <f>'КАЛЬКУЛЯТОР, САЛОН  ZETTA'!L3</f>
        <v>24</v>
      </c>
    </row>
    <row r="23" spans="2:7" ht="15.6" x14ac:dyDescent="0.3">
      <c r="B23" s="43" t="s">
        <v>82</v>
      </c>
      <c r="D23" s="52">
        <v>2</v>
      </c>
      <c r="E23" s="52">
        <v>2</v>
      </c>
      <c r="F23" s="52">
        <v>3</v>
      </c>
    </row>
    <row r="25" spans="2:7" s="39" customFormat="1" ht="15" x14ac:dyDescent="0.2">
      <c r="B25" s="134"/>
      <c r="C25" s="134"/>
      <c r="D25" s="134"/>
      <c r="E25" s="134"/>
      <c r="F25" s="134"/>
    </row>
    <row r="26" spans="2:7" ht="15" x14ac:dyDescent="0.2">
      <c r="B26" s="134"/>
      <c r="C26" s="134"/>
      <c r="D26" s="134"/>
      <c r="E26" s="134"/>
      <c r="F26" s="134"/>
    </row>
    <row r="27" spans="2:7" ht="15" x14ac:dyDescent="0.2">
      <c r="B27" s="134"/>
      <c r="C27" s="134"/>
      <c r="D27" s="134"/>
      <c r="E27" s="134"/>
      <c r="F27" s="134"/>
    </row>
  </sheetData>
  <protectedRanges>
    <protectedRange sqref="C6:C13 D23:F23" name="Диапазон1"/>
  </protectedRanges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ТАБЛИЦА ДЛЯ СТР. ФРАНШИЗЫ</vt:lpstr>
      <vt:lpstr>КАЛЬКУЛЯТОР, САЛОН  ZETTA</vt:lpstr>
      <vt:lpstr>ДДС ZETTA 300</vt:lpstr>
      <vt:lpstr>ДДС ZETTA 450</vt:lpstr>
      <vt:lpstr>ДДС ZETTA 600</vt:lpstr>
      <vt:lpstr>Ремонт и обустр. салона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2018-01-16T10:30:36Z</dcterms:modified>
</cp:coreProperties>
</file>